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ff" sheetId="1" state="visible" r:id="rId1"/>
    <sheet xmlns:r="http://schemas.openxmlformats.org/officeDocument/2006/relationships" name="Period" sheetId="2" state="visible" r:id="rId2"/>
    <sheet xmlns:r="http://schemas.openxmlformats.org/officeDocument/2006/relationships" name="Settings" sheetId="3" state="visible" r:id="rId3"/>
    <sheet xmlns:r="http://schemas.openxmlformats.org/officeDocument/2006/relationships" name="How to use" sheetId="4" state="visible" r:id="rId4"/>
  </sheets>
  <definedNames>
    <definedName name="_xlnm.Print_Area" localSheetId="0">'Staff'!$A$1:$K$33</definedName>
    <definedName name="_xlnm.Print_Area" localSheetId="1">'Period'!$A$1:$R$30</definedName>
    <definedName name="_xlnm.Print_Area" localSheetId="2">'Settings'!$A$1:$C$12</definedName>
    <definedName name="_xlnm.Print_Area" localSheetId="3">'How to use'!$A$1:$B$23</definedName>
  </definedNames>
  <calcPr calcId="124519" fullCalcOnLoad="1"/>
</workbook>
</file>

<file path=xl/styles.xml><?xml version="1.0" encoding="utf-8"?>
<styleSheet xmlns="http://schemas.openxmlformats.org/spreadsheetml/2006/main">
  <numFmts count="11">
    <numFmt numFmtId="164" formatCode="0.0%"/>
    <numFmt numFmtId="165" formatCode="0.##"/>
    <numFmt numFmtId="166" formatCode="0.00;-0.00;;@"/>
    <numFmt numFmtId="167" formatCode="0%;-0%;0%;@"/>
    <numFmt numFmtId="168" formatCode="#,##0.00;-#,##0.00;;@"/>
    <numFmt numFmtId="169" formatCode="0&quot; sal.&quot;"/>
    <numFmt numFmtId="170" formatCode="#,##0.00;-#,##0.00;0.00"/>
    <numFmt numFmtId="171" formatCode="yyyy-mm-dd"/>
    <numFmt numFmtId="172" formatCode="dd mmm yyyy"/>
    <numFmt numFmtId="173" formatCode="d mmm"/>
    <numFmt numFmtId="174" formatCode="0.##;-0.##;;@"/>
  </numFmts>
  <fonts count="16">
    <font>
      <name val="Calibri"/>
      <family val="2"/>
      <color theme="1"/>
      <sz val="11"/>
      <scheme val="minor"/>
    </font>
    <font>
      <name val="Arial"/>
      <b val="1"/>
      <color rgb="000B1220"/>
      <sz val="18"/>
    </font>
    <font>
      <name val="Arial"/>
      <i val="1"/>
      <color rgb="005B6677"/>
      <sz val="9.5"/>
    </font>
    <font>
      <name val="Arial"/>
      <b val="1"/>
      <sz val="10"/>
    </font>
    <font>
      <name val="Arial"/>
      <sz val="10"/>
    </font>
    <font>
      <name val="Arial"/>
      <color rgb="005B6677"/>
      <sz val="9.5"/>
    </font>
    <font>
      <name val="Arial"/>
      <i val="1"/>
      <color rgb="005B6677"/>
      <sz val="9"/>
    </font>
    <font>
      <name val="Arial"/>
      <b val="1"/>
      <color rgb="00FFFFFF"/>
      <sz val="10"/>
    </font>
    <font>
      <name val="Arial"/>
      <color rgb="005B6677"/>
      <sz val="9"/>
    </font>
    <font>
      <name val="Arial"/>
      <color rgb="00FFFFFF"/>
      <sz val="1"/>
    </font>
    <font>
      <name val="Arial"/>
      <b val="1"/>
      <color rgb="00FFFFFF"/>
      <sz val="9"/>
    </font>
    <font>
      <name val="Arial"/>
      <color rgb="00C9D2E3"/>
      <sz val="8"/>
    </font>
    <font>
      <name val="Arial"/>
      <b val="1"/>
      <color rgb="000B1220"/>
      <sz val="12"/>
    </font>
    <font>
      <name val="Arial"/>
      <color rgb="000B1220"/>
      <sz val="10.5"/>
    </font>
    <font>
      <name val="Arial"/>
      <sz val="10.5"/>
    </font>
    <font>
      <name val="Arial"/>
      <b val="1"/>
      <color rgb="000B1220"/>
      <sz val="10.5"/>
    </font>
  </fonts>
  <fills count="5">
    <fill>
      <patternFill/>
    </fill>
    <fill>
      <patternFill patternType="gray125"/>
    </fill>
    <fill>
      <patternFill patternType="solid">
        <fgColor rgb="00FFF9C4"/>
      </patternFill>
    </fill>
    <fill>
      <patternFill patternType="solid">
        <fgColor rgb="000B1220"/>
      </patternFill>
    </fill>
    <fill>
      <patternFill patternType="solid">
        <fgColor rgb="00F6F7F9"/>
      </patternFill>
    </fill>
  </fills>
  <borders count="6">
    <border>
      <left/>
      <right/>
      <top/>
      <bottom/>
      <diagonal/>
    </border>
    <border>
      <left style="thin">
        <color rgb="00D5D9E0"/>
      </left>
      <right style="thin">
        <color rgb="00D5D9E0"/>
      </right>
      <top style="thin">
        <color rgb="00D5D9E0"/>
      </top>
      <bottom style="thin">
        <color rgb="00D5D9E0"/>
      </bottom>
    </border>
    <border>
      <left/>
      <right/>
      <top style="thin">
        <color rgb="00D5D9E0"/>
      </top>
      <bottom/>
      <diagonal/>
    </border>
    <border>
      <left/>
      <right style="thin">
        <color rgb="00D5D9E0"/>
      </right>
      <top style="thin">
        <color rgb="00D5D9E0"/>
      </top>
      <bottom/>
      <diagonal/>
    </border>
    <border>
      <left/>
      <right style="thin">
        <color rgb="00D5D9E0"/>
      </right>
      <top style="thin">
        <color rgb="00D5D9E0"/>
      </top>
      <bottom style="thin">
        <color rgb="00D5D9E0"/>
      </bottom>
      <diagonal/>
    </border>
    <border>
      <left/>
      <right/>
      <top style="thin">
        <color rgb="00D5D9E0"/>
      </top>
      <bottom style="thin">
        <color rgb="00D5D9E0"/>
      </bottom>
      <diagonal/>
    </border>
  </borders>
  <cellStyleXfs count="1">
    <xf numFmtId="0" fontId="0" fillId="0" borderId="0"/>
  </cellStyleXfs>
  <cellXfs count="52">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left" vertical="center" wrapText="1"/>
    </xf>
    <xf numFmtId="4" fontId="4" fillId="2" borderId="1" applyProtection="1" pivotButton="0" quotePrefix="0" xfId="0">
      <protection locked="0" hidden="0"/>
    </xf>
    <xf numFmtId="164" fontId="4" fillId="0" borderId="1" applyAlignment="1" pivotButton="0" quotePrefix="0" xfId="0">
      <alignment horizontal="center" vertical="center" wrapText="1"/>
    </xf>
    <xf numFmtId="4" fontId="3" fillId="0" borderId="1" applyAlignment="1" pivotButton="0" quotePrefix="0" xfId="0">
      <alignment horizontal="right" vertical="center"/>
    </xf>
    <xf numFmtId="0" fontId="5" fillId="0" borderId="0" pivotButton="0" quotePrefix="0" xfId="0"/>
    <xf numFmtId="0" fontId="4" fillId="2" borderId="1" applyAlignment="1" applyProtection="1" pivotButton="0" quotePrefix="0" xfId="0">
      <alignment horizontal="left" vertical="center" wrapText="1"/>
      <protection locked="0" hidden="0"/>
    </xf>
    <xf numFmtId="0" fontId="0" fillId="0" borderId="4" applyProtection="1" pivotButton="0" quotePrefix="0" xfId="0">
      <protection locked="0" hidden="0"/>
    </xf>
    <xf numFmtId="165" fontId="4" fillId="0" borderId="1" applyAlignment="1" pivotButton="0" quotePrefix="0" xfId="0">
      <alignment horizontal="center" vertical="center" wrapText="1"/>
    </xf>
    <xf numFmtId="0" fontId="6" fillId="0" borderId="0" pivotButton="0" quotePrefix="0" xfId="0"/>
    <xf numFmtId="0" fontId="6" fillId="0" borderId="0" applyAlignment="1" pivotButton="0" quotePrefix="0" xfId="0">
      <alignment vertical="center"/>
    </xf>
    <xf numFmtId="0" fontId="7" fillId="3" borderId="1" applyAlignment="1" pivotButton="0" quotePrefix="0" xfId="0">
      <alignment horizontal="center" vertical="center" wrapText="1"/>
    </xf>
    <xf numFmtId="1" fontId="8" fillId="0" borderId="1" applyAlignment="1" pivotButton="0" quotePrefix="0" xfId="0">
      <alignment horizontal="center" vertical="center" wrapText="1"/>
    </xf>
    <xf numFmtId="166" fontId="4" fillId="2" borderId="1" applyProtection="1" pivotButton="0" quotePrefix="0" xfId="0">
      <protection locked="0" hidden="0"/>
    </xf>
    <xf numFmtId="0" fontId="4" fillId="2" borderId="1" applyAlignment="1" applyProtection="1" pivotButton="0" quotePrefix="0" xfId="0">
      <alignment horizontal="center" vertical="center" wrapText="1"/>
      <protection locked="0" hidden="0"/>
    </xf>
    <xf numFmtId="167" fontId="4" fillId="2" borderId="1" applyProtection="1" pivotButton="0" quotePrefix="0" xfId="0">
      <protection locked="0" hidden="0"/>
    </xf>
    <xf numFmtId="166" fontId="4" fillId="0" borderId="1" applyAlignment="1" pivotButton="0" quotePrefix="0" xfId="0">
      <alignment horizontal="right" vertical="center"/>
    </xf>
    <xf numFmtId="164" fontId="4" fillId="0" borderId="1" applyAlignment="1" pivotButton="0" quotePrefix="0" xfId="0">
      <alignment horizontal="right" vertical="center"/>
    </xf>
    <xf numFmtId="168" fontId="4" fillId="0" borderId="1" applyAlignment="1" pivotButton="0" quotePrefix="0" xfId="0">
      <alignment horizontal="right" vertical="center"/>
    </xf>
    <xf numFmtId="0" fontId="3" fillId="4" borderId="1" pivotButton="0" quotePrefix="0" xfId="0"/>
    <xf numFmtId="0" fontId="0" fillId="4" borderId="1" pivotButton="0" quotePrefix="0" xfId="0"/>
    <xf numFmtId="2" fontId="3" fillId="4" borderId="1" applyAlignment="1" pivotButton="0" quotePrefix="0" xfId="0">
      <alignment horizontal="right" vertical="center"/>
    </xf>
    <xf numFmtId="169" fontId="3" fillId="4" borderId="1" applyAlignment="1" pivotButton="0" quotePrefix="0" xfId="0">
      <alignment horizontal="center" vertical="center" wrapText="1"/>
    </xf>
    <xf numFmtId="0" fontId="4" fillId="4" borderId="1" pivotButton="0" quotePrefix="0" xfId="0"/>
    <xf numFmtId="164" fontId="3" fillId="4" borderId="1" applyAlignment="1" pivotButton="0" quotePrefix="0" xfId="0">
      <alignment horizontal="right" vertical="center"/>
    </xf>
    <xf numFmtId="4" fontId="3" fillId="4" borderId="1" applyAlignment="1" pivotButton="0" quotePrefix="0" xfId="0">
      <alignment horizontal="right" vertical="center"/>
    </xf>
    <xf numFmtId="170" fontId="4" fillId="0" borderId="1" applyAlignment="1" pivotButton="0" quotePrefix="0" xfId="0">
      <alignment horizontal="right" vertical="center"/>
    </xf>
    <xf numFmtId="0" fontId="4" fillId="0" borderId="1" applyAlignment="1" pivotButton="0" quotePrefix="0" xfId="0">
      <alignment horizontal="left" vertical="center" wrapText="1"/>
    </xf>
    <xf numFmtId="0" fontId="0" fillId="0" borderId="5" pivotButton="0" quotePrefix="0" xfId="0"/>
    <xf numFmtId="0" fontId="0" fillId="0" borderId="4" pivotButton="0" quotePrefix="0" xfId="0"/>
    <xf numFmtId="0" fontId="8" fillId="0" borderId="0" pivotButton="0" quotePrefix="0" xfId="0"/>
    <xf numFmtId="172" fontId="4" fillId="2" borderId="1" applyAlignment="1" applyProtection="1" pivotButton="0" quotePrefix="0" xfId="0">
      <alignment horizontal="center" vertical="center" wrapText="1"/>
      <protection locked="0" hidden="0"/>
    </xf>
    <xf numFmtId="0" fontId="0" fillId="0" borderId="5" applyProtection="1" pivotButton="0" quotePrefix="0" xfId="0">
      <protection locked="0" hidden="0"/>
    </xf>
    <xf numFmtId="1" fontId="4" fillId="2" borderId="1" applyAlignment="1" applyProtection="1" pivotButton="0" quotePrefix="0" xfId="0">
      <alignment horizontal="center" vertical="center" wrapText="1"/>
      <protection locked="0" hidden="0"/>
    </xf>
    <xf numFmtId="0" fontId="9" fillId="0" borderId="0" applyAlignment="1" pivotButton="0" quotePrefix="0" xfId="0">
      <alignment horizontal="center" vertical="center" wrapText="1"/>
    </xf>
    <xf numFmtId="0" fontId="10" fillId="3" borderId="1" applyAlignment="1" pivotButton="0" quotePrefix="0" xfId="0">
      <alignment horizontal="center" vertical="center" wrapText="1"/>
    </xf>
    <xf numFmtId="0" fontId="4" fillId="3" borderId="1" pivotButton="0" quotePrefix="0" xfId="0"/>
    <xf numFmtId="173" fontId="11" fillId="3" borderId="1" applyAlignment="1" pivotButton="0" quotePrefix="0" xfId="0">
      <alignment horizontal="center" vertical="center" wrapText="1"/>
    </xf>
    <xf numFmtId="0" fontId="11" fillId="3" borderId="1" applyAlignment="1" pivotButton="0" quotePrefix="0" xfId="0">
      <alignment horizontal="center" vertical="center" wrapText="1"/>
    </xf>
    <xf numFmtId="174" fontId="4" fillId="2" borderId="1" applyAlignment="1" applyProtection="1" pivotButton="0" quotePrefix="0" xfId="0">
      <alignment horizontal="center" vertical="center" wrapText="1"/>
      <protection locked="0" hidden="0"/>
    </xf>
    <xf numFmtId="166" fontId="3" fillId="0" borderId="1" applyAlignment="1" pivotButton="0" quotePrefix="0" xfId="0">
      <alignment horizontal="right" vertical="center"/>
    </xf>
    <xf numFmtId="165" fontId="3" fillId="4" borderId="1" applyAlignment="1" pivotButton="0" quotePrefix="0" xfId="0">
      <alignment horizontal="center" vertical="center" wrapText="1"/>
    </xf>
    <xf numFmtId="165" fontId="4" fillId="2" borderId="1" applyAlignment="1" applyProtection="1" pivotButton="0" quotePrefix="0" xfId="0">
      <alignment horizontal="center" vertical="center" wrapText="1"/>
      <protection locked="0" hidden="0"/>
    </xf>
    <xf numFmtId="0" fontId="5" fillId="0" borderId="0" applyAlignment="1" pivotButton="0" quotePrefix="0" xfId="0">
      <alignment vertical="center" wrapText="1"/>
    </xf>
    <xf numFmtId="164" fontId="4" fillId="2" borderId="1" applyAlignment="1" applyProtection="1" pivotButton="0" quotePrefix="0" xfId="0">
      <alignment horizontal="center" vertical="center" wrapText="1"/>
      <protection locked="0" hidden="0"/>
    </xf>
    <xf numFmtId="0" fontId="12" fillId="0" borderId="0" pivotButton="0" quotePrefix="0" xfId="0"/>
    <xf numFmtId="0" fontId="4" fillId="0" borderId="0" applyAlignment="1" pivotButton="0" quotePrefix="0" xfId="0">
      <alignment vertical="top" wrapText="1"/>
    </xf>
    <xf numFmtId="0" fontId="13" fillId="0" borderId="0" applyAlignment="1" pivotButton="0" quotePrefix="0" xfId="0">
      <alignment vertical="top" wrapText="1"/>
    </xf>
    <xf numFmtId="0" fontId="14" fillId="0" borderId="0" applyAlignment="1" pivotButton="0" quotePrefix="0" xfId="0">
      <alignment vertical="top" wrapText="1"/>
    </xf>
    <xf numFmtId="0" fontId="15" fillId="0" borderId="0" applyAlignment="1" pivotButton="0" quotePrefix="0" xfId="0">
      <alignment vertical="top" wrapText="1"/>
    </xf>
  </cellXfs>
  <cellStyles count="1">
    <cellStyle name="Normal" xfId="0" builtinId="0" hidden="0"/>
  </cellStyles>
  <dxfs count="4">
    <dxf>
      <font>
        <name val="Arial"/>
        <b val="1"/>
        <color rgb="00166534"/>
      </font>
    </dxf>
    <dxf>
      <font>
        <name val="Arial"/>
        <b val="1"/>
        <color rgb="00B42318"/>
      </font>
    </dxf>
    <dxf>
      <fill>
        <patternFill patternType="solid">
          <fgColor rgb="00D5D9E0"/>
        </patternFill>
      </fill>
    </dxf>
    <dxf>
      <font>
        <name val="Arial"/>
        <b val="1"/>
        <color rgb="00F28C1C"/>
        <sz val="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33"/>
  <sheetViews>
    <sheetView showGridLines="0" workbookViewId="0">
      <pane xSplit="3" ySplit="7" topLeftCell="D8" activePane="bottomRight" state="frozen"/>
      <selection pane="topRight"/>
      <selection pane="bottomLeft"/>
      <selection pane="bottomRight" activeCell="A1" sqref="A1"/>
    </sheetView>
  </sheetViews>
  <sheetFormatPr baseColWidth="8" defaultRowHeight="15"/>
  <cols>
    <col width="4" customWidth="1" min="1" max="1"/>
    <col width="20" customWidth="1" min="2" max="2"/>
    <col width="15" customWidth="1" min="3" max="3"/>
    <col width="9" customWidth="1" min="4" max="4"/>
    <col width="9" customWidth="1" min="5" max="5"/>
    <col width="10" customWidth="1" min="6" max="6"/>
    <col width="10" customWidth="1" min="7" max="7"/>
    <col width="9" customWidth="1" min="8" max="8"/>
    <col width="10" customWidth="1" min="9" max="9"/>
    <col width="12" customWidth="1" min="10" max="10"/>
    <col width="12" customWidth="1" min="11" max="11"/>
    <col width="3" customWidth="1" min="12" max="12"/>
    <col width="30" customWidth="1" min="13" max="13"/>
  </cols>
  <sheetData>
    <row r="1" ht="30" customHeight="1">
      <c r="A1" s="1" t="inlineStr">
        <is>
          <t>Service charge split</t>
        </is>
      </c>
    </row>
    <row r="2">
      <c r="A2" s="2" t="inlineStr">
        <is>
          <t>Share the service charge pool for the period by hours worked with a cap; salaried staff get a full share; a role can get a fixed % of a share.</t>
        </is>
      </c>
    </row>
    <row r="3">
      <c r="A3" s="3" t="inlineStr">
        <is>
          <t>Pool for the period</t>
        </is>
      </c>
      <c r="C3" s="4" t="n">
        <v>9000</v>
      </c>
      <c r="E3" s="3" t="inlineStr">
        <is>
          <t>Admin fee</t>
        </is>
      </c>
      <c r="F3" s="5">
        <f>Settings!$B$4</f>
        <v/>
      </c>
      <c r="G3" s="3" t="inlineStr">
        <is>
          <t>Distributable</t>
        </is>
      </c>
      <c r="I3" s="6">
        <f>ROUND(C3*(1-Settings!$B$4),2)</f>
        <v/>
      </c>
      <c r="J3" s="7" t="inlineStr">
        <is>
          <t>pool less the admin fee (Settings)</t>
        </is>
      </c>
    </row>
    <row r="4">
      <c r="A4" s="3" t="inlineStr">
        <is>
          <t>Period</t>
        </is>
      </c>
      <c r="C4" s="8" t="n"/>
      <c r="D4" s="9" t="n"/>
      <c r="E4" s="3" t="inlineStr">
        <is>
          <t>Cap (h)</t>
        </is>
      </c>
      <c r="F4" s="10">
        <f>Settings!$B$3</f>
        <v/>
      </c>
      <c r="G4" s="3" t="inlineStr">
        <is>
          <t>Full share</t>
        </is>
      </c>
      <c r="I4" s="6">
        <f>IF(SUM($H$8:$H$27)=0,"",ROUND($I$3/SUM($H$8:$H$27),2))</f>
        <v/>
      </c>
      <c r="J4" s="7" t="inlineStr">
        <is>
          <t>distributable ÷ total points</t>
        </is>
      </c>
    </row>
    <row r="5">
      <c r="A5" s="11" t="inlineStr">
        <is>
          <t>Hours: type them, or leave blank to take the person's total from the Period sheet (matched by name). Salaried: Y = a full share regardless of hours. Share %: blank = 100%.</t>
        </is>
      </c>
    </row>
    <row r="6">
      <c r="A6" s="12" t="inlineStr">
        <is>
          <t>Yellow cells are yours to fill in. White cells are worked out for you and locked (Review › Unprotect Sheet, no password, if you need to change them).</t>
        </is>
      </c>
    </row>
    <row r="7" ht="30" customHeight="1">
      <c r="A7" s="13" t="inlineStr">
        <is>
          <t>#</t>
        </is>
      </c>
      <c r="B7" s="13" t="inlineStr">
        <is>
          <t>Name</t>
        </is>
      </c>
      <c r="C7" s="13" t="inlineStr">
        <is>
          <t>Role / dept</t>
        </is>
      </c>
      <c r="D7" s="13" t="inlineStr">
        <is>
          <t>Hours</t>
        </is>
      </c>
      <c r="E7" s="13" t="inlineStr">
        <is>
          <t>Salaried</t>
        </is>
      </c>
      <c r="F7" s="13" t="inlineStr">
        <is>
          <t>Share %</t>
        </is>
      </c>
      <c r="G7" s="13" t="inlineStr">
        <is>
          <t>Hours used</t>
        </is>
      </c>
      <c r="H7" s="13" t="inlineStr">
        <is>
          <t>Points</t>
        </is>
      </c>
      <c r="I7" s="13" t="inlineStr">
        <is>
          <t>% of pool</t>
        </is>
      </c>
      <c r="J7" s="13" t="inlineStr">
        <is>
          <t>Share</t>
        </is>
      </c>
      <c r="K7" s="13" t="inlineStr">
        <is>
          <t>Payout</t>
        </is>
      </c>
    </row>
    <row r="8" ht="18" customHeight="1">
      <c r="A8" s="14">
        <f>IF(B8="","",ROW()-7)</f>
        <v/>
      </c>
      <c r="B8" s="8" t="inlineStr">
        <is>
          <t>Aisha</t>
        </is>
      </c>
      <c r="C8" s="8" t="inlineStr">
        <is>
          <t>Server</t>
        </is>
      </c>
      <c r="D8" s="15" t="n">
        <v>152</v>
      </c>
      <c r="E8" s="16" t="n"/>
      <c r="F8" s="17" t="n"/>
      <c r="G8" s="18">
        <f>IF(B8="","",IF(E8="Y","",IF(D8&lt;&gt;"",D8,SUMIF(Period!$A$8:$A$27,B8,Period!$R$8:$R$27))))</f>
        <v/>
      </c>
      <c r="H8" s="18">
        <f>IF(B8="",0,IF(E8="Y",1,IF(Settings!$B$3=0,IF(N(G8)&gt;0,1,0),MIN(1,N(G8)/Settings!$B$3)))*IF(F8="",1,F8))</f>
        <v/>
      </c>
      <c r="I8" s="19">
        <f>IF(OR(B8="",SUM($H$8:$H$27)=0),"",H8/SUM($H$8:$H$27))</f>
        <v/>
      </c>
      <c r="J8" s="20">
        <f>IF(SUM($H$8:$H$27)=0,0,ROUND($I$3*H8/SUM($H$8:$H$27),2))</f>
        <v/>
      </c>
      <c r="K8" s="6">
        <f>IF(B8="","",J8+IF(AND(J8&lt;&gt;0,ROW()-7=MATCH(MAX($J$8:$J$27),$J$8:$J$27,0)),$I$3-SUM($J$8:$J$27),0))</f>
        <v/>
      </c>
    </row>
    <row r="9" ht="18" customHeight="1">
      <c r="A9" s="14">
        <f>IF(B9="","",ROW()-7)</f>
        <v/>
      </c>
      <c r="B9" s="8" t="inlineStr">
        <is>
          <t>Ben</t>
        </is>
      </c>
      <c r="C9" s="8" t="inlineStr">
        <is>
          <t>Server</t>
        </is>
      </c>
      <c r="D9" s="15" t="n">
        <v>144</v>
      </c>
      <c r="E9" s="16" t="n"/>
      <c r="F9" s="17" t="n"/>
      <c r="G9" s="18">
        <f>IF(B9="","",IF(E9="Y","",IF(D9&lt;&gt;"",D9,SUMIF(Period!$A$8:$A$27,B9,Period!$R$8:$R$27))))</f>
        <v/>
      </c>
      <c r="H9" s="18">
        <f>IF(B9="",0,IF(E9="Y",1,IF(Settings!$B$3=0,IF(N(G9)&gt;0,1,0),MIN(1,N(G9)/Settings!$B$3)))*IF(F9="",1,F9))</f>
        <v/>
      </c>
      <c r="I9" s="19">
        <f>IF(OR(B9="",SUM($H$8:$H$27)=0),"",H9/SUM($H$8:$H$27))</f>
        <v/>
      </c>
      <c r="J9" s="20">
        <f>IF(SUM($H$8:$H$27)=0,0,ROUND($I$3*H9/SUM($H$8:$H$27),2))</f>
        <v/>
      </c>
      <c r="K9" s="6">
        <f>IF(B9="","",J9+IF(AND(J9&lt;&gt;0,ROW()-7=MATCH(MAX($J$8:$J$27),$J$8:$J$27,0)),$I$3-SUM($J$8:$J$27),0))</f>
        <v/>
      </c>
    </row>
    <row r="10" ht="18" customHeight="1">
      <c r="A10" s="14">
        <f>IF(B10="","",ROW()-7)</f>
        <v/>
      </c>
      <c r="B10" s="8" t="inlineStr">
        <is>
          <t>Carla</t>
        </is>
      </c>
      <c r="C10" s="8" t="inlineStr">
        <is>
          <t>Bartender</t>
        </is>
      </c>
      <c r="D10" s="15" t="n">
        <v>160</v>
      </c>
      <c r="E10" s="16" t="n"/>
      <c r="F10" s="17" t="n"/>
      <c r="G10" s="18">
        <f>IF(B10="","",IF(E10="Y","",IF(D10&lt;&gt;"",D10,SUMIF(Period!$A$8:$A$27,B10,Period!$R$8:$R$27))))</f>
        <v/>
      </c>
      <c r="H10" s="18">
        <f>IF(B10="",0,IF(E10="Y",1,IF(Settings!$B$3=0,IF(N(G10)&gt;0,1,0),MIN(1,N(G10)/Settings!$B$3)))*IF(F10="",1,F10))</f>
        <v/>
      </c>
      <c r="I10" s="19">
        <f>IF(OR(B10="",SUM($H$8:$H$27)=0),"",H10/SUM($H$8:$H$27))</f>
        <v/>
      </c>
      <c r="J10" s="20">
        <f>IF(SUM($H$8:$H$27)=0,0,ROUND($I$3*H10/SUM($H$8:$H$27),2))</f>
        <v/>
      </c>
      <c r="K10" s="6">
        <f>IF(B10="","",J10+IF(AND(J10&lt;&gt;0,ROW()-7=MATCH(MAX($J$8:$J$27),$J$8:$J$27,0)),$I$3-SUM($J$8:$J$27),0))</f>
        <v/>
      </c>
    </row>
    <row r="11" ht="18" customHeight="1">
      <c r="A11" s="14">
        <f>IF(B11="","",ROW()-7)</f>
        <v/>
      </c>
      <c r="B11" s="8" t="inlineStr">
        <is>
          <t>Devon</t>
        </is>
      </c>
      <c r="C11" s="8" t="inlineStr">
        <is>
          <t>Bar-back</t>
        </is>
      </c>
      <c r="D11" s="15" t="n">
        <v>140</v>
      </c>
      <c r="E11" s="16" t="n"/>
      <c r="F11" s="17" t="n">
        <v>0.7</v>
      </c>
      <c r="G11" s="18">
        <f>IF(B11="","",IF(E11="Y","",IF(D11&lt;&gt;"",D11,SUMIF(Period!$A$8:$A$27,B11,Period!$R$8:$R$27))))</f>
        <v/>
      </c>
      <c r="H11" s="18">
        <f>IF(B11="",0,IF(E11="Y",1,IF(Settings!$B$3=0,IF(N(G11)&gt;0,1,0),MIN(1,N(G11)/Settings!$B$3)))*IF(F11="",1,F11))</f>
        <v/>
      </c>
      <c r="I11" s="19">
        <f>IF(OR(B11="",SUM($H$8:$H$27)=0),"",H11/SUM($H$8:$H$27))</f>
        <v/>
      </c>
      <c r="J11" s="20">
        <f>IF(SUM($H$8:$H$27)=0,0,ROUND($I$3*H11/SUM($H$8:$H$27),2))</f>
        <v/>
      </c>
      <c r="K11" s="6">
        <f>IF(B11="","",J11+IF(AND(J11&lt;&gt;0,ROW()-7=MATCH(MAX($J$8:$J$27),$J$8:$J$27,0)),$I$3-SUM($J$8:$J$27),0))</f>
        <v/>
      </c>
    </row>
    <row r="12" ht="18" customHeight="1">
      <c r="A12" s="14">
        <f>IF(B12="","",ROW()-7)</f>
        <v/>
      </c>
      <c r="B12" s="8" t="inlineStr">
        <is>
          <t>Esme</t>
        </is>
      </c>
      <c r="C12" s="8" t="inlineStr">
        <is>
          <t>Host</t>
        </is>
      </c>
      <c r="D12" s="15" t="n">
        <v>120</v>
      </c>
      <c r="E12" s="16" t="n"/>
      <c r="F12" s="17" t="n"/>
      <c r="G12" s="18">
        <f>IF(B12="","",IF(E12="Y","",IF(D12&lt;&gt;"",D12,SUMIF(Period!$A$8:$A$27,B12,Period!$R$8:$R$27))))</f>
        <v/>
      </c>
      <c r="H12" s="18">
        <f>IF(B12="",0,IF(E12="Y",1,IF(Settings!$B$3=0,IF(N(G12)&gt;0,1,0),MIN(1,N(G12)/Settings!$B$3)))*IF(F12="",1,F12))</f>
        <v/>
      </c>
      <c r="I12" s="19">
        <f>IF(OR(B12="",SUM($H$8:$H$27)=0),"",H12/SUM($H$8:$H$27))</f>
        <v/>
      </c>
      <c r="J12" s="20">
        <f>IF(SUM($H$8:$H$27)=0,0,ROUND($I$3*H12/SUM($H$8:$H$27),2))</f>
        <v/>
      </c>
      <c r="K12" s="6">
        <f>IF(B12="","",J12+IF(AND(J12&lt;&gt;0,ROW()-7=MATCH(MAX($J$8:$J$27),$J$8:$J$27,0)),$I$3-SUM($J$8:$J$27),0))</f>
        <v/>
      </c>
    </row>
    <row r="13" ht="18" customHeight="1">
      <c r="A13" s="14">
        <f>IF(B13="","",ROW()-7)</f>
        <v/>
      </c>
      <c r="B13" s="8" t="inlineStr">
        <is>
          <t>Femi</t>
        </is>
      </c>
      <c r="C13" s="8" t="inlineStr">
        <is>
          <t>Cook</t>
        </is>
      </c>
      <c r="D13" s="15" t="n">
        <v>150</v>
      </c>
      <c r="E13" s="16" t="n"/>
      <c r="F13" s="17" t="n"/>
      <c r="G13" s="18">
        <f>IF(B13="","",IF(E13="Y","",IF(D13&lt;&gt;"",D13,SUMIF(Period!$A$8:$A$27,B13,Period!$R$8:$R$27))))</f>
        <v/>
      </c>
      <c r="H13" s="18">
        <f>IF(B13="",0,IF(E13="Y",1,IF(Settings!$B$3=0,IF(N(G13)&gt;0,1,0),MIN(1,N(G13)/Settings!$B$3)))*IF(F13="",1,F13))</f>
        <v/>
      </c>
      <c r="I13" s="19">
        <f>IF(OR(B13="",SUM($H$8:$H$27)=0),"",H13/SUM($H$8:$H$27))</f>
        <v/>
      </c>
      <c r="J13" s="20">
        <f>IF(SUM($H$8:$H$27)=0,0,ROUND($I$3*H13/SUM($H$8:$H$27),2))</f>
        <v/>
      </c>
      <c r="K13" s="6">
        <f>IF(B13="","",J13+IF(AND(J13&lt;&gt;0,ROW()-7=MATCH(MAX($J$8:$J$27),$J$8:$J$27,0)),$I$3-SUM($J$8:$J$27),0))</f>
        <v/>
      </c>
    </row>
    <row r="14" ht="18" customHeight="1">
      <c r="A14" s="14">
        <f>IF(B14="","",ROW()-7)</f>
        <v/>
      </c>
      <c r="B14" s="8" t="inlineStr">
        <is>
          <t>Grace</t>
        </is>
      </c>
      <c r="C14" s="8" t="inlineStr">
        <is>
          <t>Cook</t>
        </is>
      </c>
      <c r="D14" s="15" t="n">
        <v>96</v>
      </c>
      <c r="E14" s="16" t="n"/>
      <c r="F14" s="17" t="n"/>
      <c r="G14" s="18">
        <f>IF(B14="","",IF(E14="Y","",IF(D14&lt;&gt;"",D14,SUMIF(Period!$A$8:$A$27,B14,Period!$R$8:$R$27))))</f>
        <v/>
      </c>
      <c r="H14" s="18">
        <f>IF(B14="",0,IF(E14="Y",1,IF(Settings!$B$3=0,IF(N(G14)&gt;0,1,0),MIN(1,N(G14)/Settings!$B$3)))*IF(F14="",1,F14))</f>
        <v/>
      </c>
      <c r="I14" s="19">
        <f>IF(OR(B14="",SUM($H$8:$H$27)=0),"",H14/SUM($H$8:$H$27))</f>
        <v/>
      </c>
      <c r="J14" s="20">
        <f>IF(SUM($H$8:$H$27)=0,0,ROUND($I$3*H14/SUM($H$8:$H$27),2))</f>
        <v/>
      </c>
      <c r="K14" s="6">
        <f>IF(B14="","",J14+IF(AND(J14&lt;&gt;0,ROW()-7=MATCH(MAX($J$8:$J$27),$J$8:$J$27,0)),$I$3-SUM($J$8:$J$27),0))</f>
        <v/>
      </c>
    </row>
    <row r="15" ht="18" customHeight="1">
      <c r="A15" s="14">
        <f>IF(B15="","",ROW()-7)</f>
        <v/>
      </c>
      <c r="B15" s="8" t="inlineStr">
        <is>
          <t>Hugo</t>
        </is>
      </c>
      <c r="C15" s="8" t="inlineStr">
        <is>
          <t>Kitchen porter</t>
        </is>
      </c>
      <c r="D15" s="15" t="n">
        <v>72</v>
      </c>
      <c r="E15" s="16" t="n"/>
      <c r="F15" s="17" t="n"/>
      <c r="G15" s="18">
        <f>IF(B15="","",IF(E15="Y","",IF(D15&lt;&gt;"",D15,SUMIF(Period!$A$8:$A$27,B15,Period!$R$8:$R$27))))</f>
        <v/>
      </c>
      <c r="H15" s="18">
        <f>IF(B15="",0,IF(E15="Y",1,IF(Settings!$B$3=0,IF(N(G15)&gt;0,1,0),MIN(1,N(G15)/Settings!$B$3)))*IF(F15="",1,F15))</f>
        <v/>
      </c>
      <c r="I15" s="19">
        <f>IF(OR(B15="",SUM($H$8:$H$27)=0),"",H15/SUM($H$8:$H$27))</f>
        <v/>
      </c>
      <c r="J15" s="20">
        <f>IF(SUM($H$8:$H$27)=0,0,ROUND($I$3*H15/SUM($H$8:$H$27),2))</f>
        <v/>
      </c>
      <c r="K15" s="6">
        <f>IF(B15="","",J15+IF(AND(J15&lt;&gt;0,ROW()-7=MATCH(MAX($J$8:$J$27),$J$8:$J$27,0)),$I$3-SUM($J$8:$J$27),0))</f>
        <v/>
      </c>
    </row>
    <row r="16" ht="18" customHeight="1">
      <c r="A16" s="14">
        <f>IF(B16="","",ROW()-7)</f>
        <v/>
      </c>
      <c r="B16" s="8" t="inlineStr">
        <is>
          <t>Ines</t>
        </is>
      </c>
      <c r="C16" s="8" t="inlineStr">
        <is>
          <t>Housekeeping</t>
        </is>
      </c>
      <c r="D16" s="15" t="n">
        <v>144</v>
      </c>
      <c r="E16" s="16" t="n"/>
      <c r="F16" s="17" t="n"/>
      <c r="G16" s="18">
        <f>IF(B16="","",IF(E16="Y","",IF(D16&lt;&gt;"",D16,SUMIF(Period!$A$8:$A$27,B16,Period!$R$8:$R$27))))</f>
        <v/>
      </c>
      <c r="H16" s="18">
        <f>IF(B16="",0,IF(E16="Y",1,IF(Settings!$B$3=0,IF(N(G16)&gt;0,1,0),MIN(1,N(G16)/Settings!$B$3)))*IF(F16="",1,F16))</f>
        <v/>
      </c>
      <c r="I16" s="19">
        <f>IF(OR(B16="",SUM($H$8:$H$27)=0),"",H16/SUM($H$8:$H$27))</f>
        <v/>
      </c>
      <c r="J16" s="20">
        <f>IF(SUM($H$8:$H$27)=0,0,ROUND($I$3*H16/SUM($H$8:$H$27),2))</f>
        <v/>
      </c>
      <c r="K16" s="6">
        <f>IF(B16="","",J16+IF(AND(J16&lt;&gt;0,ROW()-7=MATCH(MAX($J$8:$J$27),$J$8:$J$27,0)),$I$3-SUM($J$8:$J$27),0))</f>
        <v/>
      </c>
    </row>
    <row r="17" ht="18" customHeight="1">
      <c r="A17" s="14">
        <f>IF(B17="","",ROW()-7)</f>
        <v/>
      </c>
      <c r="B17" s="8" t="inlineStr">
        <is>
          <t>Jon</t>
        </is>
      </c>
      <c r="C17" s="8" t="inlineStr">
        <is>
          <t>Security</t>
        </is>
      </c>
      <c r="D17" s="15" t="n">
        <v>160</v>
      </c>
      <c r="E17" s="16" t="n"/>
      <c r="F17" s="17" t="n">
        <v>0.5</v>
      </c>
      <c r="G17" s="18">
        <f>IF(B17="","",IF(E17="Y","",IF(D17&lt;&gt;"",D17,SUMIF(Period!$A$8:$A$27,B17,Period!$R$8:$R$27))))</f>
        <v/>
      </c>
      <c r="H17" s="18">
        <f>IF(B17="",0,IF(E17="Y",1,IF(Settings!$B$3=0,IF(N(G17)&gt;0,1,0),MIN(1,N(G17)/Settings!$B$3)))*IF(F17="",1,F17))</f>
        <v/>
      </c>
      <c r="I17" s="19">
        <f>IF(OR(B17="",SUM($H$8:$H$27)=0),"",H17/SUM($H$8:$H$27))</f>
        <v/>
      </c>
      <c r="J17" s="20">
        <f>IF(SUM($H$8:$H$27)=0,0,ROUND($I$3*H17/SUM($H$8:$H$27),2))</f>
        <v/>
      </c>
      <c r="K17" s="6">
        <f>IF(B17="","",J17+IF(AND(J17&lt;&gt;0,ROW()-7=MATCH(MAX($J$8:$J$27),$J$8:$J$27,0)),$I$3-SUM($J$8:$J$27),0))</f>
        <v/>
      </c>
    </row>
    <row r="18" ht="18" customHeight="1">
      <c r="A18" s="14">
        <f>IF(B18="","",ROW()-7)</f>
        <v/>
      </c>
      <c r="B18" s="8" t="inlineStr">
        <is>
          <t>Kai</t>
        </is>
      </c>
      <c r="C18" s="8" t="inlineStr">
        <is>
          <t>Head chef</t>
        </is>
      </c>
      <c r="D18" s="15" t="n"/>
      <c r="E18" s="16" t="inlineStr">
        <is>
          <t>Y</t>
        </is>
      </c>
      <c r="F18" s="17" t="n"/>
      <c r="G18" s="18">
        <f>IF(B18="","",IF(E18="Y","",IF(D18&lt;&gt;"",D18,SUMIF(Period!$A$8:$A$27,B18,Period!$R$8:$R$27))))</f>
        <v/>
      </c>
      <c r="H18" s="18">
        <f>IF(B18="",0,IF(E18="Y",1,IF(Settings!$B$3=0,IF(N(G18)&gt;0,1,0),MIN(1,N(G18)/Settings!$B$3)))*IF(F18="",1,F18))</f>
        <v/>
      </c>
      <c r="I18" s="19">
        <f>IF(OR(B18="",SUM($H$8:$H$27)=0),"",H18/SUM($H$8:$H$27))</f>
        <v/>
      </c>
      <c r="J18" s="20">
        <f>IF(SUM($H$8:$H$27)=0,0,ROUND($I$3*H18/SUM($H$8:$H$27),2))</f>
        <v/>
      </c>
      <c r="K18" s="6">
        <f>IF(B18="","",J18+IF(AND(J18&lt;&gt;0,ROW()-7=MATCH(MAX($J$8:$J$27),$J$8:$J$27,0)),$I$3-SUM($J$8:$J$27),0))</f>
        <v/>
      </c>
    </row>
    <row r="19" ht="18" customHeight="1">
      <c r="A19" s="14">
        <f>IF(B19="","",ROW()-7)</f>
        <v/>
      </c>
      <c r="B19" s="8" t="inlineStr">
        <is>
          <t>Lena</t>
        </is>
      </c>
      <c r="C19" s="8" t="inlineStr">
        <is>
          <t>Server</t>
        </is>
      </c>
      <c r="D19" s="15" t="n">
        <v>48</v>
      </c>
      <c r="E19" s="16" t="n"/>
      <c r="F19" s="17" t="n"/>
      <c r="G19" s="18">
        <f>IF(B19="","",IF(E19="Y","",IF(D19&lt;&gt;"",D19,SUMIF(Period!$A$8:$A$27,B19,Period!$R$8:$R$27))))</f>
        <v/>
      </c>
      <c r="H19" s="18">
        <f>IF(B19="",0,IF(E19="Y",1,IF(Settings!$B$3=0,IF(N(G19)&gt;0,1,0),MIN(1,N(G19)/Settings!$B$3)))*IF(F19="",1,F19))</f>
        <v/>
      </c>
      <c r="I19" s="19">
        <f>IF(OR(B19="",SUM($H$8:$H$27)=0),"",H19/SUM($H$8:$H$27))</f>
        <v/>
      </c>
      <c r="J19" s="20">
        <f>IF(SUM($H$8:$H$27)=0,0,ROUND($I$3*H19/SUM($H$8:$H$27),2))</f>
        <v/>
      </c>
      <c r="K19" s="6">
        <f>IF(B19="","",J19+IF(AND(J19&lt;&gt;0,ROW()-7=MATCH(MAX($J$8:$J$27),$J$8:$J$27,0)),$I$3-SUM($J$8:$J$27),0))</f>
        <v/>
      </c>
    </row>
    <row r="20" ht="18" customHeight="1">
      <c r="A20" s="14">
        <f>IF(B20="","",ROW()-7)</f>
        <v/>
      </c>
      <c r="B20" s="8" t="n"/>
      <c r="C20" s="8" t="n"/>
      <c r="D20" s="15" t="n"/>
      <c r="E20" s="16" t="n"/>
      <c r="F20" s="17" t="n"/>
      <c r="G20" s="18">
        <f>IF(B20="","",IF(E20="Y","",IF(D20&lt;&gt;"",D20,SUMIF(Period!$A$8:$A$27,B20,Period!$R$8:$R$27))))</f>
        <v/>
      </c>
      <c r="H20" s="18">
        <f>IF(B20="",0,IF(E20="Y",1,IF(Settings!$B$3=0,IF(N(G20)&gt;0,1,0),MIN(1,N(G20)/Settings!$B$3)))*IF(F20="",1,F20))</f>
        <v/>
      </c>
      <c r="I20" s="19">
        <f>IF(OR(B20="",SUM($H$8:$H$27)=0),"",H20/SUM($H$8:$H$27))</f>
        <v/>
      </c>
      <c r="J20" s="20">
        <f>IF(SUM($H$8:$H$27)=0,0,ROUND($I$3*H20/SUM($H$8:$H$27),2))</f>
        <v/>
      </c>
      <c r="K20" s="6">
        <f>IF(B20="","",J20+IF(AND(J20&lt;&gt;0,ROW()-7=MATCH(MAX($J$8:$J$27),$J$8:$J$27,0)),$I$3-SUM($J$8:$J$27),0))</f>
        <v/>
      </c>
    </row>
    <row r="21" ht="18" customHeight="1">
      <c r="A21" s="14">
        <f>IF(B21="","",ROW()-7)</f>
        <v/>
      </c>
      <c r="B21" s="8" t="n"/>
      <c r="C21" s="8" t="n"/>
      <c r="D21" s="15" t="n"/>
      <c r="E21" s="16" t="n"/>
      <c r="F21" s="17" t="n"/>
      <c r="G21" s="18">
        <f>IF(B21="","",IF(E21="Y","",IF(D21&lt;&gt;"",D21,SUMIF(Period!$A$8:$A$27,B21,Period!$R$8:$R$27))))</f>
        <v/>
      </c>
      <c r="H21" s="18">
        <f>IF(B21="",0,IF(E21="Y",1,IF(Settings!$B$3=0,IF(N(G21)&gt;0,1,0),MIN(1,N(G21)/Settings!$B$3)))*IF(F21="",1,F21))</f>
        <v/>
      </c>
      <c r="I21" s="19">
        <f>IF(OR(B21="",SUM($H$8:$H$27)=0),"",H21/SUM($H$8:$H$27))</f>
        <v/>
      </c>
      <c r="J21" s="20">
        <f>IF(SUM($H$8:$H$27)=0,0,ROUND($I$3*H21/SUM($H$8:$H$27),2))</f>
        <v/>
      </c>
      <c r="K21" s="6">
        <f>IF(B21="","",J21+IF(AND(J21&lt;&gt;0,ROW()-7=MATCH(MAX($J$8:$J$27),$J$8:$J$27,0)),$I$3-SUM($J$8:$J$27),0))</f>
        <v/>
      </c>
    </row>
    <row r="22" ht="18" customHeight="1">
      <c r="A22" s="14">
        <f>IF(B22="","",ROW()-7)</f>
        <v/>
      </c>
      <c r="B22" s="8" t="n"/>
      <c r="C22" s="8" t="n"/>
      <c r="D22" s="15" t="n"/>
      <c r="E22" s="16" t="n"/>
      <c r="F22" s="17" t="n"/>
      <c r="G22" s="18">
        <f>IF(B22="","",IF(E22="Y","",IF(D22&lt;&gt;"",D22,SUMIF(Period!$A$8:$A$27,B22,Period!$R$8:$R$27))))</f>
        <v/>
      </c>
      <c r="H22" s="18">
        <f>IF(B22="",0,IF(E22="Y",1,IF(Settings!$B$3=0,IF(N(G22)&gt;0,1,0),MIN(1,N(G22)/Settings!$B$3)))*IF(F22="",1,F22))</f>
        <v/>
      </c>
      <c r="I22" s="19">
        <f>IF(OR(B22="",SUM($H$8:$H$27)=0),"",H22/SUM($H$8:$H$27))</f>
        <v/>
      </c>
      <c r="J22" s="20">
        <f>IF(SUM($H$8:$H$27)=0,0,ROUND($I$3*H22/SUM($H$8:$H$27),2))</f>
        <v/>
      </c>
      <c r="K22" s="6">
        <f>IF(B22="","",J22+IF(AND(J22&lt;&gt;0,ROW()-7=MATCH(MAX($J$8:$J$27),$J$8:$J$27,0)),$I$3-SUM($J$8:$J$27),0))</f>
        <v/>
      </c>
    </row>
    <row r="23" ht="18" customHeight="1">
      <c r="A23" s="14">
        <f>IF(B23="","",ROW()-7)</f>
        <v/>
      </c>
      <c r="B23" s="8" t="n"/>
      <c r="C23" s="8" t="n"/>
      <c r="D23" s="15" t="n"/>
      <c r="E23" s="16" t="n"/>
      <c r="F23" s="17" t="n"/>
      <c r="G23" s="18">
        <f>IF(B23="","",IF(E23="Y","",IF(D23&lt;&gt;"",D23,SUMIF(Period!$A$8:$A$27,B23,Period!$R$8:$R$27))))</f>
        <v/>
      </c>
      <c r="H23" s="18">
        <f>IF(B23="",0,IF(E23="Y",1,IF(Settings!$B$3=0,IF(N(G23)&gt;0,1,0),MIN(1,N(G23)/Settings!$B$3)))*IF(F23="",1,F23))</f>
        <v/>
      </c>
      <c r="I23" s="19">
        <f>IF(OR(B23="",SUM($H$8:$H$27)=0),"",H23/SUM($H$8:$H$27))</f>
        <v/>
      </c>
      <c r="J23" s="20">
        <f>IF(SUM($H$8:$H$27)=0,0,ROUND($I$3*H23/SUM($H$8:$H$27),2))</f>
        <v/>
      </c>
      <c r="K23" s="6">
        <f>IF(B23="","",J23+IF(AND(J23&lt;&gt;0,ROW()-7=MATCH(MAX($J$8:$J$27),$J$8:$J$27,0)),$I$3-SUM($J$8:$J$27),0))</f>
        <v/>
      </c>
    </row>
    <row r="24" ht="18" customHeight="1">
      <c r="A24" s="14">
        <f>IF(B24="","",ROW()-7)</f>
        <v/>
      </c>
      <c r="B24" s="8" t="n"/>
      <c r="C24" s="8" t="n"/>
      <c r="D24" s="15" t="n"/>
      <c r="E24" s="16" t="n"/>
      <c r="F24" s="17" t="n"/>
      <c r="G24" s="18">
        <f>IF(B24="","",IF(E24="Y","",IF(D24&lt;&gt;"",D24,SUMIF(Period!$A$8:$A$27,B24,Period!$R$8:$R$27))))</f>
        <v/>
      </c>
      <c r="H24" s="18">
        <f>IF(B24="",0,IF(E24="Y",1,IF(Settings!$B$3=0,IF(N(G24)&gt;0,1,0),MIN(1,N(G24)/Settings!$B$3)))*IF(F24="",1,F24))</f>
        <v/>
      </c>
      <c r="I24" s="19">
        <f>IF(OR(B24="",SUM($H$8:$H$27)=0),"",H24/SUM($H$8:$H$27))</f>
        <v/>
      </c>
      <c r="J24" s="20">
        <f>IF(SUM($H$8:$H$27)=0,0,ROUND($I$3*H24/SUM($H$8:$H$27),2))</f>
        <v/>
      </c>
      <c r="K24" s="6">
        <f>IF(B24="","",J24+IF(AND(J24&lt;&gt;0,ROW()-7=MATCH(MAX($J$8:$J$27),$J$8:$J$27,0)),$I$3-SUM($J$8:$J$27),0))</f>
        <v/>
      </c>
    </row>
    <row r="25" ht="18" customHeight="1">
      <c r="A25" s="14">
        <f>IF(B25="","",ROW()-7)</f>
        <v/>
      </c>
      <c r="B25" s="8" t="n"/>
      <c r="C25" s="8" t="n"/>
      <c r="D25" s="15" t="n"/>
      <c r="E25" s="16" t="n"/>
      <c r="F25" s="17" t="n"/>
      <c r="G25" s="18">
        <f>IF(B25="","",IF(E25="Y","",IF(D25&lt;&gt;"",D25,SUMIF(Period!$A$8:$A$27,B25,Period!$R$8:$R$27))))</f>
        <v/>
      </c>
      <c r="H25" s="18">
        <f>IF(B25="",0,IF(E25="Y",1,IF(Settings!$B$3=0,IF(N(G25)&gt;0,1,0),MIN(1,N(G25)/Settings!$B$3)))*IF(F25="",1,F25))</f>
        <v/>
      </c>
      <c r="I25" s="19">
        <f>IF(OR(B25="",SUM($H$8:$H$27)=0),"",H25/SUM($H$8:$H$27))</f>
        <v/>
      </c>
      <c r="J25" s="20">
        <f>IF(SUM($H$8:$H$27)=0,0,ROUND($I$3*H25/SUM($H$8:$H$27),2))</f>
        <v/>
      </c>
      <c r="K25" s="6">
        <f>IF(B25="","",J25+IF(AND(J25&lt;&gt;0,ROW()-7=MATCH(MAX($J$8:$J$27),$J$8:$J$27,0)),$I$3-SUM($J$8:$J$27),0))</f>
        <v/>
      </c>
    </row>
    <row r="26" ht="18" customHeight="1">
      <c r="A26" s="14">
        <f>IF(B26="","",ROW()-7)</f>
        <v/>
      </c>
      <c r="B26" s="8" t="n"/>
      <c r="C26" s="8" t="n"/>
      <c r="D26" s="15" t="n"/>
      <c r="E26" s="16" t="n"/>
      <c r="F26" s="17" t="n"/>
      <c r="G26" s="18">
        <f>IF(B26="","",IF(E26="Y","",IF(D26&lt;&gt;"",D26,SUMIF(Period!$A$8:$A$27,B26,Period!$R$8:$R$27))))</f>
        <v/>
      </c>
      <c r="H26" s="18">
        <f>IF(B26="",0,IF(E26="Y",1,IF(Settings!$B$3=0,IF(N(G26)&gt;0,1,0),MIN(1,N(G26)/Settings!$B$3)))*IF(F26="",1,F26))</f>
        <v/>
      </c>
      <c r="I26" s="19">
        <f>IF(OR(B26="",SUM($H$8:$H$27)=0),"",H26/SUM($H$8:$H$27))</f>
        <v/>
      </c>
      <c r="J26" s="20">
        <f>IF(SUM($H$8:$H$27)=0,0,ROUND($I$3*H26/SUM($H$8:$H$27),2))</f>
        <v/>
      </c>
      <c r="K26" s="6">
        <f>IF(B26="","",J26+IF(AND(J26&lt;&gt;0,ROW()-7=MATCH(MAX($J$8:$J$27),$J$8:$J$27,0)),$I$3-SUM($J$8:$J$27),0))</f>
        <v/>
      </c>
    </row>
    <row r="27" ht="18" customHeight="1">
      <c r="A27" s="14">
        <f>IF(B27="","",ROW()-7)</f>
        <v/>
      </c>
      <c r="B27" s="8" t="n"/>
      <c r="C27" s="8" t="n"/>
      <c r="D27" s="15" t="n"/>
      <c r="E27" s="16" t="n"/>
      <c r="F27" s="17" t="n"/>
      <c r="G27" s="18">
        <f>IF(B27="","",IF(E27="Y","",IF(D27&lt;&gt;"",D27,SUMIF(Period!$A$8:$A$27,B27,Period!$R$8:$R$27))))</f>
        <v/>
      </c>
      <c r="H27" s="18">
        <f>IF(B27="",0,IF(E27="Y",1,IF(Settings!$B$3=0,IF(N(G27)&gt;0,1,0),MIN(1,N(G27)/Settings!$B$3)))*IF(F27="",1,F27))</f>
        <v/>
      </c>
      <c r="I27" s="19">
        <f>IF(OR(B27="",SUM($H$8:$H$27)=0),"",H27/SUM($H$8:$H$27))</f>
        <v/>
      </c>
      <c r="J27" s="20">
        <f>IF(SUM($H$8:$H$27)=0,0,ROUND($I$3*H27/SUM($H$8:$H$27),2))</f>
        <v/>
      </c>
      <c r="K27" s="6">
        <f>IF(B27="","",J27+IF(AND(J27&lt;&gt;0,ROW()-7=MATCH(MAX($J$8:$J$27),$J$8:$J$27,0)),$I$3-SUM($J$8:$J$27),0))</f>
        <v/>
      </c>
    </row>
    <row r="28">
      <c r="A28" s="21" t="inlineStr">
        <is>
          <t>Total</t>
        </is>
      </c>
      <c r="B28" s="22" t="n"/>
      <c r="C28" s="22" t="n"/>
      <c r="D28" s="23">
        <f>SUM(D8:D27)</f>
        <v/>
      </c>
      <c r="E28" s="24">
        <f>COUNTIF(E8:E27,"Y")</f>
        <v/>
      </c>
      <c r="F28" s="25" t="n"/>
      <c r="G28" s="23">
        <f>SUM(G8:G27)</f>
        <v/>
      </c>
      <c r="H28" s="23">
        <f>SUM($H$8:$H$27)</f>
        <v/>
      </c>
      <c r="I28" s="26">
        <f>IF(SUM($H$8:$H$27)=0,"",SUM(I8:I27))</f>
        <v/>
      </c>
      <c r="J28" s="27">
        <f>SUM($J$8:$J$27)</f>
        <v/>
      </c>
      <c r="K28" s="27">
        <f>SUM(K8:K27)</f>
        <v/>
      </c>
    </row>
    <row r="30">
      <c r="B30" s="3" t="inlineStr">
        <is>
          <t>Rounding left over</t>
        </is>
      </c>
      <c r="C30" s="28">
        <f>$I$3-J28</f>
        <v/>
      </c>
      <c r="D30" s="7" t="inlineStr">
        <is>
          <t>added to the largest share in the Payout column</t>
        </is>
      </c>
    </row>
    <row r="31">
      <c r="B31" s="3" t="inlineStr">
        <is>
          <t>Check</t>
        </is>
      </c>
      <c r="C31" s="29">
        <f>IF(ROUND(K28-$I$3,2)=0,"OK: payouts add up to the distributable pool","Payouts do not match the pool")</f>
        <v/>
      </c>
      <c r="D31" s="30" t="n"/>
      <c r="E31" s="30" t="n"/>
      <c r="F31" s="30" t="n"/>
      <c r="G31" s="30" t="n"/>
      <c r="H31" s="30" t="n"/>
      <c r="I31" s="30" t="n"/>
      <c r="J31" s="30" t="n"/>
      <c r="K31" s="31" t="n"/>
    </row>
    <row r="33">
      <c r="A33" s="32" t="inlineStr">
        <is>
          <t>Made with PunchClock · punchclock.ai/tools</t>
        </is>
      </c>
    </row>
  </sheetData>
  <sheetProtection selectLockedCells="0" selectUnlockedCells="0" sheet="1" objects="0" insertRows="1" insertHyperlinks="1" autoFilter="0" scenarios="0" formatColumns="0" deleteColumns="1" insertColumns="1" pivotTables="1" deleteRows="1" formatCells="0" formatRows="0" sort="0"/>
  <mergeCells count="13">
    <mergeCell ref="A4:B4"/>
    <mergeCell ref="G4:H4"/>
    <mergeCell ref="J3:K3"/>
    <mergeCell ref="J4:K4"/>
    <mergeCell ref="A28:C28"/>
    <mergeCell ref="D30:K30"/>
    <mergeCell ref="A2:K2"/>
    <mergeCell ref="A1:K1"/>
    <mergeCell ref="A33:K33"/>
    <mergeCell ref="C31:K31"/>
    <mergeCell ref="A3:B3"/>
    <mergeCell ref="G3:H3"/>
    <mergeCell ref="C4:D4"/>
  </mergeCells>
  <conditionalFormatting sqref="C31">
    <cfRule type="expression" priority="1" dxfId="0">
      <formula>LEFT(C31,2)="OK"</formula>
    </cfRule>
    <cfRule type="expression" priority="2" dxfId="1">
      <formula>LEFT(C31,2)&lt;&gt;"OK"</formula>
    </cfRule>
  </conditionalFormatting>
  <dataValidations count="3">
    <dataValidation sqref="E8:E27" showDropDown="0" showInputMessage="0" showErrorMessage="1" allowBlank="1" errorTitle="Salaried" error="Y = salaried (full share regardless of hours), N or blank = hourly." type="list">
      <formula1>"Y,N"</formula1>
    </dataValidation>
    <dataValidation sqref="C3 D8:D27" showDropDown="0" showInputMessage="0" showErrorMessage="1" allowBlank="1" errorTitle="Number" error="Enter a number, 0 or more." type="decimal" operator="greaterThanOrEqual">
      <formula1>0</formula1>
    </dataValidation>
    <dataValidation sqref="F8:F27" showDropDown="0" showInputMessage="0" showErrorMessage="1" allowBlank="1" errorTitle="Share %" error="Enter a percentage of a share: 50% for half, 100% (or blank) for a full share." type="decimal" operator="between">
      <formula1>0</formula1>
      <formula2>5</formula2>
    </dataValidation>
  </dataValidations>
  <printOptions horizontalCentered="1"/>
  <pageMargins left="0.5" right="0.5" top="0.6" bottom="0.7" header="0.5" footer="0.3"/>
  <pageSetup orientation="landscape" paperSize="9" fitToHeight="1" fitToWidth="1"/>
  <headerFooter>
    <oddHeader/>
    <oddFooter>&amp;C&amp;8 Made with PunchClock · punchclock.ai/tools&amp;R&amp;8 Page &amp;P of &amp;N</oddFooter>
    <evenHeader/>
    <evenFooter>&amp;CMade with PunchClock · punchclock.ai/tools&amp;RPage &amp;P of &amp;N</evenFooter>
    <firstHeader/>
    <firstFooter/>
  </headerFooter>
</worksheet>
</file>

<file path=xl/worksheets/sheet2.xml><?xml version="1.0" encoding="utf-8"?>
<worksheet xmlns="http://schemas.openxmlformats.org/spreadsheetml/2006/main">
  <sheetPr>
    <outlinePr summaryBelow="1" summaryRight="1"/>
    <pageSetUpPr fitToPage="1"/>
  </sheetPr>
  <dimension ref="A1:R30"/>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0" customWidth="1" min="1" max="1"/>
    <col width="6.2" customWidth="1" min="2" max="2"/>
    <col width="6.2" customWidth="1" min="3" max="3"/>
    <col width="6.2" customWidth="1" min="4" max="4"/>
    <col width="6.2" customWidth="1" min="5" max="5"/>
    <col width="6.2" customWidth="1" min="6" max="6"/>
    <col width="6.2" customWidth="1" min="7" max="7"/>
    <col width="6.2" customWidth="1" min="8" max="8"/>
    <col width="6.2" customWidth="1" min="9" max="9"/>
    <col width="6.2" customWidth="1" min="10" max="10"/>
    <col width="6.2" customWidth="1" min="11" max="11"/>
    <col width="6.2" customWidth="1" min="12" max="12"/>
    <col width="6.2" customWidth="1" min="13" max="13"/>
    <col width="6.2" customWidth="1" min="14" max="14"/>
    <col width="6.2" customWidth="1" min="15" max="15"/>
    <col width="6.2" customWidth="1" min="16" max="16"/>
    <col width="6.2" customWidth="1" min="17" max="17"/>
    <col width="11" customWidth="1" min="18" max="18"/>
  </cols>
  <sheetData>
    <row r="1" ht="30" customHeight="1">
      <c r="A1" s="1" t="inlineStr">
        <is>
          <t>Hours in the period</t>
        </is>
      </c>
    </row>
    <row r="2">
      <c r="A2" s="2" t="inlineStr">
        <is>
          <t>Hours per person per day (from the clock). The Total column feeds the Staff sheet for anyone whose Hours cell is blank. Use as many day columns as the period has.</t>
        </is>
      </c>
    </row>
    <row r="3">
      <c r="A3" s="3" t="inlineStr">
        <is>
          <t>Period start</t>
        </is>
      </c>
      <c r="B3" s="33" t="n">
        <v>46327</v>
      </c>
      <c r="C3" s="34" t="n"/>
      <c r="D3" s="9" t="n"/>
      <c r="F3" s="3" t="inlineStr">
        <is>
          <t>Days in period</t>
        </is>
      </c>
      <c r="I3" s="35" t="n">
        <v>15</v>
      </c>
      <c r="J3" s="11" t="inlineStr">
        <is>
          <t>columns past this many days are greyed out and ignored</t>
        </is>
      </c>
    </row>
    <row r="4">
      <c r="A4" s="12" t="inlineStr">
        <is>
          <t>Yellow cells are yours to fill in. White cells are worked out for you and locked (Review › Unprotect Sheet, no password, if you need to change them).</t>
        </is>
      </c>
    </row>
    <row r="5">
      <c r="B5" s="36" t="n">
        <v>1</v>
      </c>
      <c r="C5" s="36" t="n">
        <v>2</v>
      </c>
      <c r="D5" s="36" t="n">
        <v>3</v>
      </c>
      <c r="E5" s="36" t="n">
        <v>4</v>
      </c>
      <c r="F5" s="36" t="n">
        <v>5</v>
      </c>
      <c r="G5" s="36" t="n">
        <v>6</v>
      </c>
      <c r="H5" s="36" t="n">
        <v>7</v>
      </c>
      <c r="I5" s="36" t="n">
        <v>8</v>
      </c>
      <c r="J5" s="36" t="n">
        <v>9</v>
      </c>
      <c r="K5" s="36" t="n">
        <v>10</v>
      </c>
      <c r="L5" s="36" t="n">
        <v>11</v>
      </c>
      <c r="M5" s="36" t="n">
        <v>12</v>
      </c>
      <c r="N5" s="36" t="n">
        <v>13</v>
      </c>
      <c r="O5" s="36" t="n">
        <v>14</v>
      </c>
      <c r="P5" s="36" t="n">
        <v>15</v>
      </c>
      <c r="Q5" s="36" t="n">
        <v>16</v>
      </c>
    </row>
    <row r="6" ht="30" customHeight="1">
      <c r="A6" s="13" t="inlineStr">
        <is>
          <t>Name</t>
        </is>
      </c>
      <c r="B6" s="37">
        <f>IF(OR($B$3="",1&gt;$I$3),"",CHOOSE(WEEKDAY($B$3+0),"Su","Mo","Tu","We","Th","Fr","Sa"))</f>
        <v/>
      </c>
      <c r="C6" s="37">
        <f>IF(OR($B$3="",2&gt;$I$3),"",CHOOSE(WEEKDAY($B$3+1),"Su","Mo","Tu","We","Th","Fr","Sa"))</f>
        <v/>
      </c>
      <c r="D6" s="37">
        <f>IF(OR($B$3="",3&gt;$I$3),"",CHOOSE(WEEKDAY($B$3+2),"Su","Mo","Tu","We","Th","Fr","Sa"))</f>
        <v/>
      </c>
      <c r="E6" s="37">
        <f>IF(OR($B$3="",4&gt;$I$3),"",CHOOSE(WEEKDAY($B$3+3),"Su","Mo","Tu","We","Th","Fr","Sa"))</f>
        <v/>
      </c>
      <c r="F6" s="37">
        <f>IF(OR($B$3="",5&gt;$I$3),"",CHOOSE(WEEKDAY($B$3+4),"Su","Mo","Tu","We","Th","Fr","Sa"))</f>
        <v/>
      </c>
      <c r="G6" s="37">
        <f>IF(OR($B$3="",6&gt;$I$3),"",CHOOSE(WEEKDAY($B$3+5),"Su","Mo","Tu","We","Th","Fr","Sa"))</f>
        <v/>
      </c>
      <c r="H6" s="37">
        <f>IF(OR($B$3="",7&gt;$I$3),"",CHOOSE(WEEKDAY($B$3+6),"Su","Mo","Tu","We","Th","Fr","Sa"))</f>
        <v/>
      </c>
      <c r="I6" s="37">
        <f>IF(OR($B$3="",8&gt;$I$3),"",CHOOSE(WEEKDAY($B$3+7),"Su","Mo","Tu","We","Th","Fr","Sa"))</f>
        <v/>
      </c>
      <c r="J6" s="37">
        <f>IF(OR($B$3="",9&gt;$I$3),"",CHOOSE(WEEKDAY($B$3+8),"Su","Mo","Tu","We","Th","Fr","Sa"))</f>
        <v/>
      </c>
      <c r="K6" s="37">
        <f>IF(OR($B$3="",10&gt;$I$3),"",CHOOSE(WEEKDAY($B$3+9),"Su","Mo","Tu","We","Th","Fr","Sa"))</f>
        <v/>
      </c>
      <c r="L6" s="37">
        <f>IF(OR($B$3="",11&gt;$I$3),"",CHOOSE(WEEKDAY($B$3+10),"Su","Mo","Tu","We","Th","Fr","Sa"))</f>
        <v/>
      </c>
      <c r="M6" s="37">
        <f>IF(OR($B$3="",12&gt;$I$3),"",CHOOSE(WEEKDAY($B$3+11),"Su","Mo","Tu","We","Th","Fr","Sa"))</f>
        <v/>
      </c>
      <c r="N6" s="37">
        <f>IF(OR($B$3="",13&gt;$I$3),"",CHOOSE(WEEKDAY($B$3+12),"Su","Mo","Tu","We","Th","Fr","Sa"))</f>
        <v/>
      </c>
      <c r="O6" s="37">
        <f>IF(OR($B$3="",14&gt;$I$3),"",CHOOSE(WEEKDAY($B$3+13),"Su","Mo","Tu","We","Th","Fr","Sa"))</f>
        <v/>
      </c>
      <c r="P6" s="37">
        <f>IF(OR($B$3="",15&gt;$I$3),"",CHOOSE(WEEKDAY($B$3+14),"Su","Mo","Tu","We","Th","Fr","Sa"))</f>
        <v/>
      </c>
      <c r="Q6" s="37">
        <f>IF(OR($B$3="",16&gt;$I$3),"",CHOOSE(WEEKDAY($B$3+15),"Su","Mo","Tu","We","Th","Fr","Sa"))</f>
        <v/>
      </c>
      <c r="R6" s="13" t="inlineStr">
        <is>
          <t>Total</t>
        </is>
      </c>
    </row>
    <row r="7">
      <c r="A7" s="38" t="n"/>
      <c r="B7" s="39">
        <f>IF(OR($B$3="",1&gt;$I$3),"",$B$3+0)</f>
        <v/>
      </c>
      <c r="C7" s="39">
        <f>IF(OR($B$3="",2&gt;$I$3),"",$B$3+1)</f>
        <v/>
      </c>
      <c r="D7" s="39">
        <f>IF(OR($B$3="",3&gt;$I$3),"",$B$3+2)</f>
        <v/>
      </c>
      <c r="E7" s="39">
        <f>IF(OR($B$3="",4&gt;$I$3),"",$B$3+3)</f>
        <v/>
      </c>
      <c r="F7" s="39">
        <f>IF(OR($B$3="",5&gt;$I$3),"",$B$3+4)</f>
        <v/>
      </c>
      <c r="G7" s="39">
        <f>IF(OR($B$3="",6&gt;$I$3),"",$B$3+5)</f>
        <v/>
      </c>
      <c r="H7" s="39">
        <f>IF(OR($B$3="",7&gt;$I$3),"",$B$3+6)</f>
        <v/>
      </c>
      <c r="I7" s="39">
        <f>IF(OR($B$3="",8&gt;$I$3),"",$B$3+7)</f>
        <v/>
      </c>
      <c r="J7" s="39">
        <f>IF(OR($B$3="",9&gt;$I$3),"",$B$3+8)</f>
        <v/>
      </c>
      <c r="K7" s="39">
        <f>IF(OR($B$3="",10&gt;$I$3),"",$B$3+9)</f>
        <v/>
      </c>
      <c r="L7" s="39">
        <f>IF(OR($B$3="",11&gt;$I$3),"",$B$3+10)</f>
        <v/>
      </c>
      <c r="M7" s="39">
        <f>IF(OR($B$3="",12&gt;$I$3),"",$B$3+11)</f>
        <v/>
      </c>
      <c r="N7" s="39">
        <f>IF(OR($B$3="",13&gt;$I$3),"",$B$3+12)</f>
        <v/>
      </c>
      <c r="O7" s="39">
        <f>IF(OR($B$3="",14&gt;$I$3),"",$B$3+13)</f>
        <v/>
      </c>
      <c r="P7" s="39">
        <f>IF(OR($B$3="",15&gt;$I$3),"",$B$3+14)</f>
        <v/>
      </c>
      <c r="Q7" s="39">
        <f>IF(OR($B$3="",16&gt;$I$3),"",$B$3+15)</f>
        <v/>
      </c>
      <c r="R7" s="40" t="inlineStr">
        <is>
          <t>hours</t>
        </is>
      </c>
    </row>
    <row r="8" ht="18" customHeight="1">
      <c r="A8" s="8" t="inlineStr">
        <is>
          <t>Aisha</t>
        </is>
      </c>
      <c r="B8" s="41" t="n"/>
      <c r="C8" s="41" t="n"/>
      <c r="D8" s="41" t="n"/>
      <c r="E8" s="41" t="n"/>
      <c r="F8" s="41" t="n"/>
      <c r="G8" s="41" t="n"/>
      <c r="H8" s="41" t="n"/>
      <c r="I8" s="41" t="n"/>
      <c r="J8" s="41" t="n"/>
      <c r="K8" s="41" t="n"/>
      <c r="L8" s="41" t="n"/>
      <c r="M8" s="41" t="n"/>
      <c r="N8" s="41" t="n"/>
      <c r="O8" s="41" t="n"/>
      <c r="P8" s="41" t="n"/>
      <c r="Q8" s="41" t="n"/>
      <c r="R8" s="42">
        <f>IF(A8="","",SUMPRODUCT(($B$5:$Q$5&lt;=$I$3)*B8:Q8))</f>
        <v/>
      </c>
    </row>
    <row r="9" ht="18" customHeight="1">
      <c r="A9" s="8" t="inlineStr">
        <is>
          <t>Ben</t>
        </is>
      </c>
      <c r="B9" s="41" t="n"/>
      <c r="C9" s="41" t="n"/>
      <c r="D9" s="41" t="n"/>
      <c r="E9" s="41" t="n"/>
      <c r="F9" s="41" t="n"/>
      <c r="G9" s="41" t="n"/>
      <c r="H9" s="41" t="n"/>
      <c r="I9" s="41" t="n"/>
      <c r="J9" s="41" t="n"/>
      <c r="K9" s="41" t="n"/>
      <c r="L9" s="41" t="n"/>
      <c r="M9" s="41" t="n"/>
      <c r="N9" s="41" t="n"/>
      <c r="O9" s="41" t="n"/>
      <c r="P9" s="41" t="n"/>
      <c r="Q9" s="41" t="n"/>
      <c r="R9" s="42">
        <f>IF(A9="","",SUMPRODUCT(($B$5:$Q$5&lt;=$I$3)*B9:Q9))</f>
        <v/>
      </c>
    </row>
    <row r="10" ht="18" customHeight="1">
      <c r="A10" s="8" t="inlineStr">
        <is>
          <t>Carla</t>
        </is>
      </c>
      <c r="B10" s="41" t="n"/>
      <c r="C10" s="41" t="n"/>
      <c r="D10" s="41" t="n"/>
      <c r="E10" s="41" t="n"/>
      <c r="F10" s="41" t="n"/>
      <c r="G10" s="41" t="n"/>
      <c r="H10" s="41" t="n"/>
      <c r="I10" s="41" t="n"/>
      <c r="J10" s="41" t="n"/>
      <c r="K10" s="41" t="n"/>
      <c r="L10" s="41" t="n"/>
      <c r="M10" s="41" t="n"/>
      <c r="N10" s="41" t="n"/>
      <c r="O10" s="41" t="n"/>
      <c r="P10" s="41" t="n"/>
      <c r="Q10" s="41" t="n"/>
      <c r="R10" s="42">
        <f>IF(A10="","",SUMPRODUCT(($B$5:$Q$5&lt;=$I$3)*B10:Q10))</f>
        <v/>
      </c>
    </row>
    <row r="11" ht="18" customHeight="1">
      <c r="A11" s="8" t="inlineStr">
        <is>
          <t>Devon</t>
        </is>
      </c>
      <c r="B11" s="41" t="n"/>
      <c r="C11" s="41" t="n"/>
      <c r="D11" s="41" t="n"/>
      <c r="E11" s="41" t="n"/>
      <c r="F11" s="41" t="n"/>
      <c r="G11" s="41" t="n"/>
      <c r="H11" s="41" t="n"/>
      <c r="I11" s="41" t="n"/>
      <c r="J11" s="41" t="n"/>
      <c r="K11" s="41" t="n"/>
      <c r="L11" s="41" t="n"/>
      <c r="M11" s="41" t="n"/>
      <c r="N11" s="41" t="n"/>
      <c r="O11" s="41" t="n"/>
      <c r="P11" s="41" t="n"/>
      <c r="Q11" s="41" t="n"/>
      <c r="R11" s="42">
        <f>IF(A11="","",SUMPRODUCT(($B$5:$Q$5&lt;=$I$3)*B11:Q11))</f>
        <v/>
      </c>
    </row>
    <row r="12" ht="18" customHeight="1">
      <c r="A12" s="8" t="inlineStr">
        <is>
          <t>Esme</t>
        </is>
      </c>
      <c r="B12" s="41" t="n"/>
      <c r="C12" s="41" t="n"/>
      <c r="D12" s="41" t="n"/>
      <c r="E12" s="41" t="n"/>
      <c r="F12" s="41" t="n"/>
      <c r="G12" s="41" t="n"/>
      <c r="H12" s="41" t="n"/>
      <c r="I12" s="41" t="n"/>
      <c r="J12" s="41" t="n"/>
      <c r="K12" s="41" t="n"/>
      <c r="L12" s="41" t="n"/>
      <c r="M12" s="41" t="n"/>
      <c r="N12" s="41" t="n"/>
      <c r="O12" s="41" t="n"/>
      <c r="P12" s="41" t="n"/>
      <c r="Q12" s="41" t="n"/>
      <c r="R12" s="42">
        <f>IF(A12="","",SUMPRODUCT(($B$5:$Q$5&lt;=$I$3)*B12:Q12))</f>
        <v/>
      </c>
    </row>
    <row r="13" ht="18" customHeight="1">
      <c r="A13" s="8" t="inlineStr">
        <is>
          <t>Femi</t>
        </is>
      </c>
      <c r="B13" s="41" t="n"/>
      <c r="C13" s="41" t="n"/>
      <c r="D13" s="41" t="n"/>
      <c r="E13" s="41" t="n"/>
      <c r="F13" s="41" t="n"/>
      <c r="G13" s="41" t="n"/>
      <c r="H13" s="41" t="n"/>
      <c r="I13" s="41" t="n"/>
      <c r="J13" s="41" t="n"/>
      <c r="K13" s="41" t="n"/>
      <c r="L13" s="41" t="n"/>
      <c r="M13" s="41" t="n"/>
      <c r="N13" s="41" t="n"/>
      <c r="O13" s="41" t="n"/>
      <c r="P13" s="41" t="n"/>
      <c r="Q13" s="41" t="n"/>
      <c r="R13" s="42">
        <f>IF(A13="","",SUMPRODUCT(($B$5:$Q$5&lt;=$I$3)*B13:Q13))</f>
        <v/>
      </c>
    </row>
    <row r="14" ht="18" customHeight="1">
      <c r="A14" s="8" t="inlineStr">
        <is>
          <t>Grace</t>
        </is>
      </c>
      <c r="B14" s="41" t="n">
        <v>8</v>
      </c>
      <c r="C14" s="41" t="n">
        <v>8</v>
      </c>
      <c r="D14" s="41" t="n">
        <v>8</v>
      </c>
      <c r="E14" s="41" t="n">
        <v>0</v>
      </c>
      <c r="F14" s="41" t="n">
        <v>8</v>
      </c>
      <c r="G14" s="41" t="n">
        <v>8</v>
      </c>
      <c r="H14" s="41" t="n">
        <v>8</v>
      </c>
      <c r="I14" s="41" t="n">
        <v>0</v>
      </c>
      <c r="J14" s="41" t="n">
        <v>8</v>
      </c>
      <c r="K14" s="41" t="n">
        <v>8</v>
      </c>
      <c r="L14" s="41" t="n">
        <v>8</v>
      </c>
      <c r="M14" s="41" t="n">
        <v>0</v>
      </c>
      <c r="N14" s="41" t="n">
        <v>8</v>
      </c>
      <c r="O14" s="41" t="n">
        <v>8</v>
      </c>
      <c r="P14" s="41" t="n">
        <v>8</v>
      </c>
      <c r="Q14" s="41" t="n"/>
      <c r="R14" s="42">
        <f>IF(A14="","",SUMPRODUCT(($B$5:$Q$5&lt;=$I$3)*B14:Q14))</f>
        <v/>
      </c>
    </row>
    <row r="15" ht="18" customHeight="1">
      <c r="A15" s="8" t="inlineStr">
        <is>
          <t>Hugo</t>
        </is>
      </c>
      <c r="B15" s="41" t="n">
        <v>8</v>
      </c>
      <c r="C15" s="41" t="n">
        <v>8</v>
      </c>
      <c r="D15" s="41" t="n">
        <v>0</v>
      </c>
      <c r="E15" s="41" t="n">
        <v>8</v>
      </c>
      <c r="F15" s="41" t="n">
        <v>8</v>
      </c>
      <c r="G15" s="41" t="n">
        <v>0</v>
      </c>
      <c r="H15" s="41" t="n">
        <v>8</v>
      </c>
      <c r="I15" s="41" t="n">
        <v>8</v>
      </c>
      <c r="J15" s="41" t="n">
        <v>0</v>
      </c>
      <c r="K15" s="41" t="n">
        <v>8</v>
      </c>
      <c r="L15" s="41" t="n">
        <v>8</v>
      </c>
      <c r="M15" s="41" t="n">
        <v>0</v>
      </c>
      <c r="N15" s="41" t="n">
        <v>8</v>
      </c>
      <c r="O15" s="41" t="n">
        <v>0</v>
      </c>
      <c r="P15" s="41" t="n">
        <v>0</v>
      </c>
      <c r="Q15" s="41" t="n"/>
      <c r="R15" s="42">
        <f>IF(A15="","",SUMPRODUCT(($B$5:$Q$5&lt;=$I$3)*B15:Q15))</f>
        <v/>
      </c>
    </row>
    <row r="16" ht="18" customHeight="1">
      <c r="A16" s="8" t="inlineStr">
        <is>
          <t>Ines</t>
        </is>
      </c>
      <c r="B16" s="41" t="n"/>
      <c r="C16" s="41" t="n"/>
      <c r="D16" s="41" t="n"/>
      <c r="E16" s="41" t="n"/>
      <c r="F16" s="41" t="n"/>
      <c r="G16" s="41" t="n"/>
      <c r="H16" s="41" t="n"/>
      <c r="I16" s="41" t="n"/>
      <c r="J16" s="41" t="n"/>
      <c r="K16" s="41" t="n"/>
      <c r="L16" s="41" t="n"/>
      <c r="M16" s="41" t="n"/>
      <c r="N16" s="41" t="n"/>
      <c r="O16" s="41" t="n"/>
      <c r="P16" s="41" t="n"/>
      <c r="Q16" s="41" t="n"/>
      <c r="R16" s="42">
        <f>IF(A16="","",SUMPRODUCT(($B$5:$Q$5&lt;=$I$3)*B16:Q16))</f>
        <v/>
      </c>
    </row>
    <row r="17" ht="18" customHeight="1">
      <c r="A17" s="8" t="inlineStr">
        <is>
          <t>Jon</t>
        </is>
      </c>
      <c r="B17" s="41" t="n"/>
      <c r="C17" s="41" t="n"/>
      <c r="D17" s="41" t="n"/>
      <c r="E17" s="41" t="n"/>
      <c r="F17" s="41" t="n"/>
      <c r="G17" s="41" t="n"/>
      <c r="H17" s="41" t="n"/>
      <c r="I17" s="41" t="n"/>
      <c r="J17" s="41" t="n"/>
      <c r="K17" s="41" t="n"/>
      <c r="L17" s="41" t="n"/>
      <c r="M17" s="41" t="n"/>
      <c r="N17" s="41" t="n"/>
      <c r="O17" s="41" t="n"/>
      <c r="P17" s="41" t="n"/>
      <c r="Q17" s="41" t="n"/>
      <c r="R17" s="42">
        <f>IF(A17="","",SUMPRODUCT(($B$5:$Q$5&lt;=$I$3)*B17:Q17))</f>
        <v/>
      </c>
    </row>
    <row r="18" ht="18" customHeight="1">
      <c r="A18" s="8" t="inlineStr">
        <is>
          <t>Kai</t>
        </is>
      </c>
      <c r="B18" s="41" t="n"/>
      <c r="C18" s="41" t="n"/>
      <c r="D18" s="41" t="n"/>
      <c r="E18" s="41" t="n"/>
      <c r="F18" s="41" t="n"/>
      <c r="G18" s="41" t="n"/>
      <c r="H18" s="41" t="n"/>
      <c r="I18" s="41" t="n"/>
      <c r="J18" s="41" t="n"/>
      <c r="K18" s="41" t="n"/>
      <c r="L18" s="41" t="n"/>
      <c r="M18" s="41" t="n"/>
      <c r="N18" s="41" t="n"/>
      <c r="O18" s="41" t="n"/>
      <c r="P18" s="41" t="n"/>
      <c r="Q18" s="41" t="n"/>
      <c r="R18" s="42">
        <f>IF(A18="","",SUMPRODUCT(($B$5:$Q$5&lt;=$I$3)*B18:Q18))</f>
        <v/>
      </c>
    </row>
    <row r="19" ht="18" customHeight="1">
      <c r="A19" s="8" t="inlineStr">
        <is>
          <t>Lena</t>
        </is>
      </c>
      <c r="B19" s="41" t="n">
        <v>0</v>
      </c>
      <c r="C19" s="41" t="n">
        <v>6</v>
      </c>
      <c r="D19" s="41" t="n">
        <v>0</v>
      </c>
      <c r="E19" s="41" t="n">
        <v>6</v>
      </c>
      <c r="F19" s="41" t="n">
        <v>0</v>
      </c>
      <c r="G19" s="41" t="n">
        <v>6</v>
      </c>
      <c r="H19" s="41" t="n">
        <v>0</v>
      </c>
      <c r="I19" s="41" t="n">
        <v>6</v>
      </c>
      <c r="J19" s="41" t="n">
        <v>0</v>
      </c>
      <c r="K19" s="41" t="n">
        <v>6</v>
      </c>
      <c r="L19" s="41" t="n">
        <v>0</v>
      </c>
      <c r="M19" s="41" t="n">
        <v>6</v>
      </c>
      <c r="N19" s="41" t="n">
        <v>0</v>
      </c>
      <c r="O19" s="41" t="n">
        <v>6</v>
      </c>
      <c r="P19" s="41" t="n">
        <v>6</v>
      </c>
      <c r="Q19" s="41" t="n"/>
      <c r="R19" s="42">
        <f>IF(A19="","",SUMPRODUCT(($B$5:$Q$5&lt;=$I$3)*B19:Q19))</f>
        <v/>
      </c>
    </row>
    <row r="20" ht="18" customHeight="1">
      <c r="A20" s="8" t="n"/>
      <c r="B20" s="41" t="n"/>
      <c r="C20" s="41" t="n"/>
      <c r="D20" s="41" t="n"/>
      <c r="E20" s="41" t="n"/>
      <c r="F20" s="41" t="n"/>
      <c r="G20" s="41" t="n"/>
      <c r="H20" s="41" t="n"/>
      <c r="I20" s="41" t="n"/>
      <c r="J20" s="41" t="n"/>
      <c r="K20" s="41" t="n"/>
      <c r="L20" s="41" t="n"/>
      <c r="M20" s="41" t="n"/>
      <c r="N20" s="41" t="n"/>
      <c r="O20" s="41" t="n"/>
      <c r="P20" s="41" t="n"/>
      <c r="Q20" s="41" t="n"/>
      <c r="R20" s="42">
        <f>IF(A20="","",SUMPRODUCT(($B$5:$Q$5&lt;=$I$3)*B20:Q20))</f>
        <v/>
      </c>
    </row>
    <row r="21" ht="18" customHeight="1">
      <c r="A21" s="8" t="n"/>
      <c r="B21" s="41" t="n"/>
      <c r="C21" s="41" t="n"/>
      <c r="D21" s="41" t="n"/>
      <c r="E21" s="41" t="n"/>
      <c r="F21" s="41" t="n"/>
      <c r="G21" s="41" t="n"/>
      <c r="H21" s="41" t="n"/>
      <c r="I21" s="41" t="n"/>
      <c r="J21" s="41" t="n"/>
      <c r="K21" s="41" t="n"/>
      <c r="L21" s="41" t="n"/>
      <c r="M21" s="41" t="n"/>
      <c r="N21" s="41" t="n"/>
      <c r="O21" s="41" t="n"/>
      <c r="P21" s="41" t="n"/>
      <c r="Q21" s="41" t="n"/>
      <c r="R21" s="42">
        <f>IF(A21="","",SUMPRODUCT(($B$5:$Q$5&lt;=$I$3)*B21:Q21))</f>
        <v/>
      </c>
    </row>
    <row r="22" ht="18" customHeight="1">
      <c r="A22" s="8" t="n"/>
      <c r="B22" s="41" t="n"/>
      <c r="C22" s="41" t="n"/>
      <c r="D22" s="41" t="n"/>
      <c r="E22" s="41" t="n"/>
      <c r="F22" s="41" t="n"/>
      <c r="G22" s="41" t="n"/>
      <c r="H22" s="41" t="n"/>
      <c r="I22" s="41" t="n"/>
      <c r="J22" s="41" t="n"/>
      <c r="K22" s="41" t="n"/>
      <c r="L22" s="41" t="n"/>
      <c r="M22" s="41" t="n"/>
      <c r="N22" s="41" t="n"/>
      <c r="O22" s="41" t="n"/>
      <c r="P22" s="41" t="n"/>
      <c r="Q22" s="41" t="n"/>
      <c r="R22" s="42">
        <f>IF(A22="","",SUMPRODUCT(($B$5:$Q$5&lt;=$I$3)*B22:Q22))</f>
        <v/>
      </c>
    </row>
    <row r="23" ht="18" customHeight="1">
      <c r="A23" s="8" t="n"/>
      <c r="B23" s="41" t="n"/>
      <c r="C23" s="41" t="n"/>
      <c r="D23" s="41" t="n"/>
      <c r="E23" s="41" t="n"/>
      <c r="F23" s="41" t="n"/>
      <c r="G23" s="41" t="n"/>
      <c r="H23" s="41" t="n"/>
      <c r="I23" s="41" t="n"/>
      <c r="J23" s="41" t="n"/>
      <c r="K23" s="41" t="n"/>
      <c r="L23" s="41" t="n"/>
      <c r="M23" s="41" t="n"/>
      <c r="N23" s="41" t="n"/>
      <c r="O23" s="41" t="n"/>
      <c r="P23" s="41" t="n"/>
      <c r="Q23" s="41" t="n"/>
      <c r="R23" s="42">
        <f>IF(A23="","",SUMPRODUCT(($B$5:$Q$5&lt;=$I$3)*B23:Q23))</f>
        <v/>
      </c>
    </row>
    <row r="24" ht="18" customHeight="1">
      <c r="A24" s="8" t="n"/>
      <c r="B24" s="41" t="n"/>
      <c r="C24" s="41" t="n"/>
      <c r="D24" s="41" t="n"/>
      <c r="E24" s="41" t="n"/>
      <c r="F24" s="41" t="n"/>
      <c r="G24" s="41" t="n"/>
      <c r="H24" s="41" t="n"/>
      <c r="I24" s="41" t="n"/>
      <c r="J24" s="41" t="n"/>
      <c r="K24" s="41" t="n"/>
      <c r="L24" s="41" t="n"/>
      <c r="M24" s="41" t="n"/>
      <c r="N24" s="41" t="n"/>
      <c r="O24" s="41" t="n"/>
      <c r="P24" s="41" t="n"/>
      <c r="Q24" s="41" t="n"/>
      <c r="R24" s="42">
        <f>IF(A24="","",SUMPRODUCT(($B$5:$Q$5&lt;=$I$3)*B24:Q24))</f>
        <v/>
      </c>
    </row>
    <row r="25" ht="18" customHeight="1">
      <c r="A25" s="8" t="n"/>
      <c r="B25" s="41" t="n"/>
      <c r="C25" s="41" t="n"/>
      <c r="D25" s="41" t="n"/>
      <c r="E25" s="41" t="n"/>
      <c r="F25" s="41" t="n"/>
      <c r="G25" s="41" t="n"/>
      <c r="H25" s="41" t="n"/>
      <c r="I25" s="41" t="n"/>
      <c r="J25" s="41" t="n"/>
      <c r="K25" s="41" t="n"/>
      <c r="L25" s="41" t="n"/>
      <c r="M25" s="41" t="n"/>
      <c r="N25" s="41" t="n"/>
      <c r="O25" s="41" t="n"/>
      <c r="P25" s="41" t="n"/>
      <c r="Q25" s="41" t="n"/>
      <c r="R25" s="42">
        <f>IF(A25="","",SUMPRODUCT(($B$5:$Q$5&lt;=$I$3)*B25:Q25))</f>
        <v/>
      </c>
    </row>
    <row r="26" ht="18" customHeight="1">
      <c r="A26" s="8" t="n"/>
      <c r="B26" s="41" t="n"/>
      <c r="C26" s="41" t="n"/>
      <c r="D26" s="41" t="n"/>
      <c r="E26" s="41" t="n"/>
      <c r="F26" s="41" t="n"/>
      <c r="G26" s="41" t="n"/>
      <c r="H26" s="41" t="n"/>
      <c r="I26" s="41" t="n"/>
      <c r="J26" s="41" t="n"/>
      <c r="K26" s="41" t="n"/>
      <c r="L26" s="41" t="n"/>
      <c r="M26" s="41" t="n"/>
      <c r="N26" s="41" t="n"/>
      <c r="O26" s="41" t="n"/>
      <c r="P26" s="41" t="n"/>
      <c r="Q26" s="41" t="n"/>
      <c r="R26" s="42">
        <f>IF(A26="","",SUMPRODUCT(($B$5:$Q$5&lt;=$I$3)*B26:Q26))</f>
        <v/>
      </c>
    </row>
    <row r="27" ht="18" customHeight="1">
      <c r="A27" s="8" t="n"/>
      <c r="B27" s="41" t="n"/>
      <c r="C27" s="41" t="n"/>
      <c r="D27" s="41" t="n"/>
      <c r="E27" s="41" t="n"/>
      <c r="F27" s="41" t="n"/>
      <c r="G27" s="41" t="n"/>
      <c r="H27" s="41" t="n"/>
      <c r="I27" s="41" t="n"/>
      <c r="J27" s="41" t="n"/>
      <c r="K27" s="41" t="n"/>
      <c r="L27" s="41" t="n"/>
      <c r="M27" s="41" t="n"/>
      <c r="N27" s="41" t="n"/>
      <c r="O27" s="41" t="n"/>
      <c r="P27" s="41" t="n"/>
      <c r="Q27" s="41" t="n"/>
      <c r="R27" s="42">
        <f>IF(A27="","",SUMPRODUCT(($B$5:$Q$5&lt;=$I$3)*B27:Q27))</f>
        <v/>
      </c>
    </row>
    <row r="28">
      <c r="A28" s="21" t="inlineStr">
        <is>
          <t>Hours that day</t>
        </is>
      </c>
      <c r="B28" s="43">
        <f>IF(1&gt;$I$3,"",SUM(B8:B27))</f>
        <v/>
      </c>
      <c r="C28" s="43">
        <f>IF(2&gt;$I$3,"",SUM(C8:C27))</f>
        <v/>
      </c>
      <c r="D28" s="43">
        <f>IF(3&gt;$I$3,"",SUM(D8:D27))</f>
        <v/>
      </c>
      <c r="E28" s="43">
        <f>IF(4&gt;$I$3,"",SUM(E8:E27))</f>
        <v/>
      </c>
      <c r="F28" s="43">
        <f>IF(5&gt;$I$3,"",SUM(F8:F27))</f>
        <v/>
      </c>
      <c r="G28" s="43">
        <f>IF(6&gt;$I$3,"",SUM(G8:G27))</f>
        <v/>
      </c>
      <c r="H28" s="43">
        <f>IF(7&gt;$I$3,"",SUM(H8:H27))</f>
        <v/>
      </c>
      <c r="I28" s="43">
        <f>IF(8&gt;$I$3,"",SUM(I8:I27))</f>
        <v/>
      </c>
      <c r="J28" s="43">
        <f>IF(9&gt;$I$3,"",SUM(J8:J27))</f>
        <v/>
      </c>
      <c r="K28" s="43">
        <f>IF(10&gt;$I$3,"",SUM(K8:K27))</f>
        <v/>
      </c>
      <c r="L28" s="43">
        <f>IF(11&gt;$I$3,"",SUM(L8:L27))</f>
        <v/>
      </c>
      <c r="M28" s="43">
        <f>IF(12&gt;$I$3,"",SUM(M8:M27))</f>
        <v/>
      </c>
      <c r="N28" s="43">
        <f>IF(13&gt;$I$3,"",SUM(N8:N27))</f>
        <v/>
      </c>
      <c r="O28" s="43">
        <f>IF(14&gt;$I$3,"",SUM(O8:O27))</f>
        <v/>
      </c>
      <c r="P28" s="43">
        <f>IF(15&gt;$I$3,"",SUM(P8:P27))</f>
        <v/>
      </c>
      <c r="Q28" s="43">
        <f>IF(16&gt;$I$3,"",SUM(Q8:Q27))</f>
        <v/>
      </c>
      <c r="R28" s="23">
        <f>SUM(R8:R27)</f>
        <v/>
      </c>
    </row>
    <row r="30">
      <c r="A30" s="32" t="inlineStr">
        <is>
          <t>Made with PunchClock · punchclock.ai/tools</t>
        </is>
      </c>
    </row>
  </sheetData>
  <sheetProtection selectLockedCells="0" selectUnlockedCells="0" sheet="1" objects="0" insertRows="1" insertHyperlinks="1" autoFilter="0" scenarios="0" formatColumns="0" deleteColumns="1" insertColumns="1" pivotTables="1" deleteRows="1" formatCells="0" formatRows="0" sort="0"/>
  <mergeCells count="6">
    <mergeCell ref="A30:R30"/>
    <mergeCell ref="B3:D3"/>
    <mergeCell ref="A2:R2"/>
    <mergeCell ref="A1:R1"/>
    <mergeCell ref="F3:H3"/>
    <mergeCell ref="J3:R3"/>
  </mergeCells>
  <conditionalFormatting sqref="B6:Q27">
    <cfRule type="expression" priority="1" dxfId="2" stopIfTrue="1">
      <formula>B$5&gt;$I$3</formula>
    </cfRule>
  </conditionalFormatting>
  <conditionalFormatting sqref="B6:Q7">
    <cfRule type="expression" priority="2" dxfId="3">
      <formula>OR(B$6="Sa",B$6="Su")</formula>
    </cfRule>
  </conditionalFormatting>
  <dataValidations count="2">
    <dataValidation sqref="B8:Q27" showDropDown="0" showInputMessage="0" showErrorMessage="1" allowBlank="1" errorTitle="Hours" error="Hours in the day, 0 to 24." type="decimal" operator="between">
      <formula1>0</formula1>
      <formula2>24</formula2>
    </dataValidation>
    <dataValidation sqref="I3" showDropDown="0" showInputMessage="0" showErrorMessage="1" allowBlank="0" errorTitle="Days" error="1 to 16 days." type="whole" operator="between">
      <formula1>1</formula1>
      <formula2>16</formula2>
    </dataValidation>
  </dataValidations>
  <printOptions horizontalCentered="1"/>
  <pageMargins left="0.5" right="0.5" top="0.6" bottom="0.7" header="0.5" footer="0.3"/>
  <pageSetup orientation="landscape" paperSize="9" fitToHeight="1" fitToWidth="1"/>
  <headerFooter>
    <oddHeader/>
    <oddFooter>&amp;C&amp;8 Made with PunchClock · punchclock.ai/tools&amp;R&amp;8 Page &amp;P of &amp;N</oddFooter>
    <evenHeader/>
    <evenFooter>&amp;CMade with PunchClock · punchclock.ai/tools&amp;RPage &amp;P of &amp;N</evenFooter>
    <firstHeader/>
    <firstFooter/>
  </headerFooter>
</worksheet>
</file>

<file path=xl/worksheets/sheet3.xml><?xml version="1.0" encoding="utf-8"?>
<worksheet xmlns="http://schemas.openxmlformats.org/spreadsheetml/2006/main">
  <sheetPr>
    <outlinePr summaryBelow="1" summaryRight="1"/>
    <pageSetUpPr fitToPage="1"/>
  </sheetPr>
  <dimension ref="A1:C12"/>
  <sheetViews>
    <sheetView showGridLines="0" workbookViewId="0">
      <selection activeCell="A1" sqref="A1"/>
    </sheetView>
  </sheetViews>
  <sheetFormatPr baseColWidth="8" defaultRowHeight="15"/>
  <cols>
    <col width="40" customWidth="1" min="1" max="1"/>
    <col width="12" customWidth="1" min="2" max="2"/>
    <col width="78" customWidth="1" min="3" max="3"/>
  </cols>
  <sheetData>
    <row r="1" ht="30" customHeight="1">
      <c r="A1" s="1" t="inlineStr">
        <is>
          <t>Settings</t>
        </is>
      </c>
    </row>
    <row r="2">
      <c r="A2" s="2" t="inlineStr">
        <is>
          <t>The two rules of the split. Every sheet uses them.</t>
        </is>
      </c>
    </row>
    <row r="3" ht="42" customHeight="1">
      <c r="A3" s="3" t="inlineStr">
        <is>
          <t>Hours for a full share (cap)</t>
        </is>
      </c>
      <c r="B3" s="44" t="n">
        <v>144</v>
      </c>
      <c r="C3" s="45" t="inlineStr">
        <is>
          <t>Worked this many hours or more = 1 full share; fewer = pro-rata (72 h with a 144 h cap = half a share). 144 suits a semi-monthly pool, 160-176 a monthly one, 40-44 a weekly one. 0 = no cap: anyone who worked gets a full share.</t>
        </is>
      </c>
    </row>
    <row r="4" ht="30" customHeight="1">
      <c r="A4" s="3" t="inlineStr">
        <is>
          <t>Admin / house fee taken off first</t>
        </is>
      </c>
      <c r="B4" s="46" t="n">
        <v>0</v>
      </c>
      <c r="C4" s="45" t="inlineStr">
        <is>
          <t>A percentage the business keeps before the split, where that is lawful and written in the policy. 0% = the whole pool is shared.</t>
        </is>
      </c>
    </row>
    <row r="6">
      <c r="A6" s="47" t="inlineStr">
        <is>
          <t>How a share is worked out</t>
        </is>
      </c>
    </row>
    <row r="7" ht="18" customHeight="1">
      <c r="A7" s="48" t="inlineStr">
        <is>
          <t>•  Points = MIN(hours used ÷ cap, 1) × share %. Salaried (Y) = 1 × share %. Blank share % = 100%.</t>
        </is>
      </c>
    </row>
    <row r="8" ht="18" customHeight="1">
      <c r="A8" s="48" t="inlineStr">
        <is>
          <t>•  Distributable pool = pool for the period × (1 − admin fee). Full share = distributable ÷ total points.</t>
        </is>
      </c>
    </row>
    <row r="9" ht="30" customHeight="1">
      <c r="A9" s="48" t="inlineStr">
        <is>
          <t>•  Share = distributable × points ÷ total points, rounded to cents. Payout = share plus the rounding cents, which go to the largest share so the payouts add up exactly.</t>
        </is>
      </c>
    </row>
    <row r="10" ht="30" customHeight="1">
      <c r="A10" s="48" t="inlineStr">
        <is>
          <t>•  Hours used = the Hours cell on the Staff sheet, or if it is blank the person's Total on the Period sheet (matched by name).</t>
        </is>
      </c>
    </row>
    <row r="12">
      <c r="A12" s="32" t="inlineStr">
        <is>
          <t>Made with PunchClock · punchclock.ai/tools</t>
        </is>
      </c>
    </row>
  </sheetData>
  <sheetProtection selectLockedCells="0" selectUnlockedCells="0" sheet="1" objects="0" insertRows="1" insertHyperlinks="1" autoFilter="0" scenarios="0" formatColumns="0" deleteColumns="1" insertColumns="1" pivotTables="1" deleteRows="1" formatCells="0" formatRows="0" sort="0"/>
  <mergeCells count="7">
    <mergeCell ref="A10:C10"/>
    <mergeCell ref="A1:C1"/>
    <mergeCell ref="A8:C8"/>
    <mergeCell ref="A9:C9"/>
    <mergeCell ref="A12:C12"/>
    <mergeCell ref="A7:C7"/>
    <mergeCell ref="A2:C2"/>
  </mergeCells>
  <dataValidations count="2">
    <dataValidation sqref="B3" showDropDown="0" showInputMessage="0" showErrorMessage="1" allowBlank="0" errorTitle="Hours" error="Enter the hours for a full share (0 = no cap)." type="decimal" operator="greaterThanOrEqual">
      <formula1>0</formula1>
    </dataValidation>
    <dataValidation sqref="B4" showDropDown="0" showInputMessage="0" showErrorMessage="1" allowBlank="0" errorTitle="Admin fee" error="Enter a percentage between 0% and 100%." type="decimal" operator="between">
      <formula1>0</formula1>
      <formula2>1</formula2>
    </dataValidation>
  </dataValidations>
  <printOptions horizontalCentered="1"/>
  <pageMargins left="0.5" right="0.5" top="0.6" bottom="0.7" header="0.5" footer="0.3"/>
  <pageSetup orientation="landscape" paperSize="9" fitToHeight="0" fitToWidth="1"/>
  <headerFooter>
    <oddHeader/>
    <oddFooter>&amp;C&amp;8 Made with PunchClock · punchclock.ai/tools&amp;R&amp;8 Page &amp;P of &amp;N</oddFooter>
    <evenHeader/>
    <evenFooter>&amp;CMade with PunchClock · punchclock.ai/tools&amp;RPage &amp;P of &amp;N</evenFooter>
    <firstHeader/>
    <firstFooter/>
  </headerFooter>
</worksheet>
</file>

<file path=xl/worksheets/sheet4.xml><?xml version="1.0" encoding="utf-8"?>
<worksheet xmlns="http://schemas.openxmlformats.org/spreadsheetml/2006/main">
  <sheetPr>
    <outlinePr summaryBelow="1" summaryRight="1"/>
    <pageSetUpPr fitToPage="1"/>
  </sheetPr>
  <dimension ref="B1:B23"/>
  <sheetViews>
    <sheetView showGridLines="0" workbookViewId="0">
      <selection activeCell="A1" sqref="A1"/>
    </sheetView>
  </sheetViews>
  <sheetFormatPr baseColWidth="8" defaultRowHeight="15"/>
  <cols>
    <col width="3" customWidth="1" min="1" max="1"/>
    <col width="110" customWidth="1" min="2" max="2"/>
  </cols>
  <sheetData>
    <row r="1" ht="30" customHeight="1">
      <c r="B1" s="1" t="inlineStr">
        <is>
          <t>Service charge split template</t>
        </is>
      </c>
    </row>
    <row r="2" ht="48" customHeight="1">
      <c r="B2" s="49" t="inlineStr">
        <is>
          <t>Share a service charge pool for a pay period by the hours each person worked, with a cap: anyone who worked the cap hours or more earns a full share, fewer hours earns a pro-rata share, salaried staff get a full share, and a role can be given a fixed percentage of a share (70% for a bar-back, 50% for security). Payouts are rounded to cents and still add up to the pool.</t>
        </is>
      </c>
    </row>
    <row r="4">
      <c r="B4" s="47" t="inlineStr">
        <is>
          <t>Steps</t>
        </is>
      </c>
    </row>
    <row r="5" ht="34" customHeight="1">
      <c r="B5" s="50" t="inlineStr">
        <is>
          <t>1.  On Settings, set the Hours for a full share (cap; 144 is a common semi-monthly figure) and, if your policy allows one, the admin / house fee taken off first.</t>
        </is>
      </c>
    </row>
    <row r="6" ht="34" customHeight="1">
      <c r="B6" s="50" t="inlineStr">
        <is>
          <t>2.  On Staff, enter the Pool for the period, then a row per person: name, role or department, and the hours actually worked. Type Y in Salaried for a full share regardless of hours. Put a percentage in Share % for a role that gets a part share (blank = 100%).</t>
        </is>
      </c>
    </row>
    <row r="7" ht="34" customHeight="1">
      <c r="B7" s="50" t="inlineStr">
        <is>
          <t>3.  Leave Hours blank to take the person's total from the Period sheet, where you can type hours per day (from the clock) for up to 16 days; set Days in period so unused columns are ignored.</t>
        </is>
      </c>
    </row>
    <row r="8" ht="34" customHeight="1">
      <c r="B8" s="50" t="inlineStr">
        <is>
          <t>4.  Read Points, % of pool and Payout. Full share (top right) is the distributable pool ÷ total points: the quickest sanity check. The Check line should say the payouts add up to the distributable pool.</t>
        </is>
      </c>
    </row>
    <row r="9" ht="18" customHeight="1">
      <c r="B9" s="50" t="inlineStr">
        <is>
          <t>5.  Print or save as PDF: the Staff sheet fits one landscape page for the notice board or the payroll file.</t>
        </is>
      </c>
    </row>
    <row r="11">
      <c r="B11" s="47" t="inlineStr">
        <is>
          <t>Good to know</t>
        </is>
      </c>
    </row>
    <row r="12" ht="34" customHeight="1">
      <c r="B12" s="50" t="inlineStr">
        <is>
          <t>•  Points: 160 h with a 144 h cap = 1.00 (capped); 72 h = 0.50; salaried = 1.00; 144 h at 50% = 0.50. Pool 9,000 over 3.00 points = 3,000 per full share.</t>
        </is>
      </c>
    </row>
    <row r="13" ht="34" customHeight="1">
      <c r="B13" s="50" t="inlineStr">
        <is>
          <t>•  Rounding: each share is rounded to cents and the leftover cents are added to the largest share, so the Payout column equals the distributable pool; the Rounding left over line shows how much that was.</t>
        </is>
      </c>
    </row>
    <row r="14" ht="34" customHeight="1">
      <c r="B14" s="50" t="inlineStr">
        <is>
          <t>•  Whether service charge belongs to staff, who may be in the pool (managers, salaried staff), and what the house may deduct is set by law and by your policy, and differs by country; the template only does the arithmetic.</t>
        </is>
      </c>
    </row>
    <row r="15" ht="34" customHeight="1">
      <c r="B15" s="50" t="inlineStr">
        <is>
          <t>•  Yellow cells are inputs. Everything else is a formula and is locked so it cannot be overwritten by accident. To change a formula: Review › Unprotect Sheet (there is no password).</t>
        </is>
      </c>
    </row>
    <row r="16" ht="18" customHeight="1">
      <c r="B16" s="50" t="inlineStr">
        <is>
          <t>•  The example rows are there to show the expected format: overwrite or clear them before you use the file for real.</t>
        </is>
      </c>
    </row>
    <row r="17" ht="18" customHeight="1">
      <c r="B17" s="50" t="inlineStr">
        <is>
          <t>•  Works in Microsoft Excel 2010 or later, Google Sheets (File › Import) and LibreOffice Calc. There are no macros.</t>
        </is>
      </c>
    </row>
    <row r="18" ht="34" customHeight="1">
      <c r="B18" s="50" t="inlineStr">
        <is>
          <t>•  Printing: each sheet is set up to fit one page wide on A4 or US Letter, landscape, with the footer and page numbers.</t>
        </is>
      </c>
    </row>
    <row r="19" ht="34" customHeight="1">
      <c r="B19" s="50" t="inlineStr">
        <is>
          <t>•  Pay, overtime and leave rules are set by law where you work and by your contracts. These templates do the arithmetic with the numbers you give them; check anything that matters with your labour department or payroll.</t>
        </is>
      </c>
    </row>
    <row r="21" ht="34" customHeight="1">
      <c r="B21" s="51" t="inlineStr">
        <is>
          <t>Want this done automatically? PunchClock turns clock-ins into timesheets, overtime, rotas, leave balances and payslips: https://punchclock.ai/tools</t>
        </is>
      </c>
    </row>
    <row r="23">
      <c r="B23" s="32" t="inlineStr">
        <is>
          <t>Made with PunchClock · punchclock.ai/tools</t>
        </is>
      </c>
    </row>
  </sheetData>
  <sheetProtection selectLockedCells="0" selectUnlockedCells="0" sheet="1" objects="0" insertRows="1" insertHyperlinks="1" autoFilter="0" scenarios="0" formatColumns="0" deleteColumns="1" insertColumns="1" pivotTables="1" deleteRows="1" formatCells="0" formatRows="0" sort="0"/>
  <printOptions horizontalCentered="1"/>
  <pageMargins left="0.5" right="0.5" top="0.6" bottom="0.7" header="0.5"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PunchClock AI (punchclock.ai/tools)</dc:creator>
  <dc:title xmlns:dc="http://purl.org/dc/elements/1.1/">Service charge split</dc:title>
  <dc:description xmlns:dc="http://purl.org/dc/elements/1.1/">Made with PunchClock · punchclock.ai/tools</dc:description>
  <dcterms:created xmlns:dcterms="http://purl.org/dc/terms/" xmlns:xsi="http://www.w3.org/2001/XMLSchema-instance" xsi:type="dcterms:W3CDTF">2026-11-06T02:04:37Z</dcterms:created>
  <dcterms:modified xmlns:dcterms="http://purl.org/dc/terms/" xmlns:xsi="http://www.w3.org/2001/XMLSchema-instance" xsi:type="dcterms:W3CDTF">2026-11-06T02:04:37Z</dcterms:modified>
</cp:coreProperties>
</file>